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umi0.sharepoint.com/sites/iumi/Freigegebene Dokumente/01 - Committees and Member lists/01-Committees/02 Facts &amp; Figures Committee/Global_Marine_Premiums/2025/06 Website/"/>
    </mc:Choice>
  </mc:AlternateContent>
  <xr:revisionPtr revIDLastSave="130" documentId="8_{5C664FDB-35FB-48CE-846F-DFFB1D73B485}" xr6:coauthVersionLast="47" xr6:coauthVersionMax="47" xr10:uidLastSave="{BCF750A8-0603-4886-9576-E3867714093F}"/>
  <bookViews>
    <workbookView xWindow="-98" yWindow="-98" windowWidth="21795" windowHeight="12975" activeTab="10" xr2:uid="{00000000-000D-0000-FFFF-FFFF00000000}"/>
  </bookViews>
  <sheets>
    <sheet name="14" sheetId="64" r:id="rId1"/>
    <sheet name="15" sheetId="65" r:id="rId2"/>
    <sheet name="16" sheetId="69" r:id="rId3"/>
    <sheet name="17" sheetId="77" r:id="rId4"/>
    <sheet name="18" sheetId="78" r:id="rId5"/>
    <sheet name="19" sheetId="79" r:id="rId6"/>
    <sheet name="20" sheetId="81" r:id="rId7"/>
    <sheet name="21" sheetId="82" r:id="rId8"/>
    <sheet name="22" sheetId="83" r:id="rId9"/>
    <sheet name="23" sheetId="84" r:id="rId10"/>
    <sheet name="24" sheetId="8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8" i="85" l="1"/>
  <c r="G129" i="85" s="1"/>
  <c r="G137" i="85"/>
  <c r="F137" i="85"/>
  <c r="J136" i="85"/>
  <c r="F136" i="85" s="1"/>
  <c r="G136" i="85"/>
  <c r="G135" i="85"/>
  <c r="F135" i="85"/>
  <c r="G134" i="85"/>
  <c r="F134" i="85"/>
  <c r="G133" i="85"/>
  <c r="F133" i="85"/>
  <c r="G132" i="85"/>
  <c r="F132" i="85"/>
  <c r="G131" i="85"/>
  <c r="F131" i="85"/>
  <c r="J126" i="85"/>
  <c r="J125" i="85"/>
  <c r="I125" i="85"/>
  <c r="H125" i="85"/>
  <c r="G125" i="85"/>
  <c r="F125" i="85"/>
  <c r="J118" i="83"/>
  <c r="J117" i="83"/>
  <c r="J116" i="83"/>
  <c r="J115" i="83"/>
  <c r="J114" i="83"/>
  <c r="J113" i="83"/>
  <c r="J112" i="83"/>
  <c r="J111" i="83"/>
  <c r="J110" i="83"/>
  <c r="J109" i="83"/>
  <c r="J108" i="83"/>
  <c r="J107" i="83"/>
  <c r="J106" i="83"/>
  <c r="J118" i="82"/>
  <c r="J117" i="82"/>
  <c r="J116" i="82"/>
  <c r="J115" i="82"/>
  <c r="J114" i="82"/>
  <c r="J113" i="82"/>
  <c r="J111" i="82"/>
  <c r="J110" i="82"/>
  <c r="J109" i="82"/>
  <c r="J108" i="82"/>
  <c r="J107" i="82"/>
  <c r="J106" i="82"/>
  <c r="J118" i="81"/>
  <c r="J117" i="81"/>
  <c r="J116" i="81"/>
  <c r="J115" i="81"/>
  <c r="J114" i="81"/>
  <c r="J113" i="81"/>
  <c r="J111" i="81"/>
  <c r="J110" i="81"/>
  <c r="J108" i="81"/>
  <c r="J106" i="81"/>
  <c r="J118" i="79"/>
  <c r="J117" i="79"/>
  <c r="J116" i="79"/>
  <c r="J115" i="79"/>
  <c r="J114" i="79"/>
  <c r="J113" i="79"/>
  <c r="J111" i="79"/>
  <c r="J110" i="79"/>
  <c r="J108" i="79"/>
  <c r="J106" i="79"/>
  <c r="F129" i="85" l="1"/>
  <c r="J111" i="64"/>
  <c r="G99" i="83" l="1"/>
  <c r="G99" i="82"/>
  <c r="G99" i="81"/>
  <c r="G99" i="79"/>
  <c r="G99" i="78"/>
  <c r="J61" i="83"/>
  <c r="G137" i="84" l="1"/>
  <c r="F137" i="84"/>
  <c r="G135" i="84"/>
  <c r="F135" i="84"/>
  <c r="G134" i="84"/>
  <c r="F134" i="84"/>
  <c r="G133" i="84"/>
  <c r="F133" i="84"/>
  <c r="G132" i="84"/>
  <c r="F132" i="84"/>
  <c r="J111" i="65"/>
  <c r="J111" i="69"/>
  <c r="J111" i="77"/>
  <c r="J111" i="78"/>
  <c r="I4" i="84" l="1"/>
  <c r="H4" i="84"/>
  <c r="I120" i="84"/>
  <c r="H120" i="84"/>
  <c r="J137" i="79"/>
  <c r="G23" i="83"/>
  <c r="G23" i="82"/>
  <c r="I73" i="82"/>
  <c r="H73" i="82"/>
  <c r="H123" i="84" l="1"/>
  <c r="I123" i="84"/>
  <c r="J70" i="81" l="1"/>
  <c r="J69" i="83"/>
  <c r="G137" i="83" l="1"/>
  <c r="F137" i="83"/>
  <c r="G135" i="83"/>
  <c r="F135" i="83"/>
  <c r="G134" i="83"/>
  <c r="F134" i="83"/>
  <c r="G133" i="83"/>
  <c r="F133" i="83"/>
  <c r="G132" i="83"/>
  <c r="F132" i="83"/>
  <c r="J104" i="83"/>
  <c r="J103" i="83"/>
  <c r="I102" i="83"/>
  <c r="H102" i="83"/>
  <c r="F102" i="83"/>
  <c r="J101" i="83"/>
  <c r="J100" i="83"/>
  <c r="J98" i="83"/>
  <c r="J97" i="83"/>
  <c r="I96" i="83"/>
  <c r="J95" i="83"/>
  <c r="J94" i="83"/>
  <c r="J93" i="83"/>
  <c r="J92" i="83"/>
  <c r="J91" i="83"/>
  <c r="J90" i="83"/>
  <c r="J87" i="83"/>
  <c r="J86" i="83"/>
  <c r="J85" i="83"/>
  <c r="J84" i="83"/>
  <c r="J83" i="83"/>
  <c r="F82" i="83"/>
  <c r="J81" i="83"/>
  <c r="J80" i="83"/>
  <c r="J79" i="83"/>
  <c r="J78" i="83"/>
  <c r="J77" i="83"/>
  <c r="J76" i="83"/>
  <c r="J75" i="83"/>
  <c r="I73" i="83"/>
  <c r="H73" i="83"/>
  <c r="J72" i="83"/>
  <c r="J71" i="83"/>
  <c r="I70" i="83"/>
  <c r="J68" i="83"/>
  <c r="J67" i="83"/>
  <c r="J66" i="83"/>
  <c r="I65" i="83"/>
  <c r="H65" i="83"/>
  <c r="F65" i="83"/>
  <c r="J64" i="83"/>
  <c r="J63" i="83"/>
  <c r="J62" i="83"/>
  <c r="J60" i="83"/>
  <c r="J59" i="83"/>
  <c r="J58" i="83"/>
  <c r="J57" i="83"/>
  <c r="J56" i="83"/>
  <c r="J54" i="83"/>
  <c r="J53" i="83"/>
  <c r="J52" i="83"/>
  <c r="J51" i="83"/>
  <c r="J50" i="83"/>
  <c r="J49" i="83"/>
  <c r="J48" i="83"/>
  <c r="J47" i="83"/>
  <c r="J46" i="83"/>
  <c r="J45" i="83"/>
  <c r="J44" i="83"/>
  <c r="J43" i="83"/>
  <c r="J42" i="83"/>
  <c r="J41" i="83"/>
  <c r="J40" i="83"/>
  <c r="J39" i="83"/>
  <c r="J38" i="83"/>
  <c r="J37" i="83"/>
  <c r="J35" i="83"/>
  <c r="J34" i="83"/>
  <c r="J33" i="83"/>
  <c r="J31" i="83"/>
  <c r="J30" i="83"/>
  <c r="J29" i="83"/>
  <c r="J28" i="83"/>
  <c r="J27" i="83"/>
  <c r="J26" i="83"/>
  <c r="J25" i="83"/>
  <c r="J24" i="83"/>
  <c r="J22" i="83"/>
  <c r="J21" i="83"/>
  <c r="J20" i="83"/>
  <c r="J19" i="83"/>
  <c r="J18" i="83"/>
  <c r="J17" i="83"/>
  <c r="J16" i="83"/>
  <c r="J15" i="83"/>
  <c r="J14" i="83"/>
  <c r="J13" i="83"/>
  <c r="J12" i="83"/>
  <c r="J11" i="83"/>
  <c r="J10" i="83"/>
  <c r="H4" i="83" l="1"/>
  <c r="J70" i="83"/>
  <c r="I4" i="83"/>
  <c r="J23" i="83"/>
  <c r="H120" i="83"/>
  <c r="I120" i="83"/>
  <c r="J73" i="83"/>
  <c r="J96" i="83"/>
  <c r="J99" i="83"/>
  <c r="I123" i="83" l="1"/>
  <c r="H123" i="83"/>
  <c r="J71" i="79" l="1"/>
  <c r="J137" i="81" l="1"/>
  <c r="G137" i="79"/>
  <c r="J68" i="81"/>
  <c r="J68" i="82"/>
  <c r="G137" i="82" l="1"/>
  <c r="F137" i="82"/>
  <c r="G135" i="82"/>
  <c r="F135" i="82"/>
  <c r="G134" i="82"/>
  <c r="F134" i="82"/>
  <c r="G133" i="82"/>
  <c r="F133" i="82"/>
  <c r="G132" i="82"/>
  <c r="F132" i="82"/>
  <c r="J104" i="82"/>
  <c r="J103" i="82"/>
  <c r="I102" i="82"/>
  <c r="H102" i="82"/>
  <c r="F102" i="82"/>
  <c r="J101" i="82"/>
  <c r="J100" i="82"/>
  <c r="J98" i="82"/>
  <c r="J97" i="82"/>
  <c r="I96" i="82"/>
  <c r="J95" i="82"/>
  <c r="J94" i="82"/>
  <c r="J93" i="82"/>
  <c r="J92" i="82"/>
  <c r="J91" i="82"/>
  <c r="J90" i="82"/>
  <c r="J87" i="82"/>
  <c r="J86" i="82"/>
  <c r="J85" i="82"/>
  <c r="J84" i="82"/>
  <c r="J83" i="82"/>
  <c r="F82" i="82"/>
  <c r="J81" i="82"/>
  <c r="J80" i="82"/>
  <c r="J79" i="82"/>
  <c r="J78" i="82"/>
  <c r="J77" i="82"/>
  <c r="J76" i="82"/>
  <c r="J75" i="82"/>
  <c r="J72" i="82"/>
  <c r="J71" i="82"/>
  <c r="I70" i="82"/>
  <c r="J69" i="82"/>
  <c r="J67" i="82"/>
  <c r="J66" i="82"/>
  <c r="I65" i="82"/>
  <c r="H65" i="82"/>
  <c r="F65" i="82"/>
  <c r="J64" i="82"/>
  <c r="J63" i="82"/>
  <c r="J62" i="82"/>
  <c r="J60" i="82"/>
  <c r="J59" i="82"/>
  <c r="J58" i="82"/>
  <c r="J57" i="82"/>
  <c r="J56" i="82"/>
  <c r="J54" i="82"/>
  <c r="J53" i="82"/>
  <c r="J52" i="82"/>
  <c r="J51" i="82"/>
  <c r="J50" i="82"/>
  <c r="J49" i="82"/>
  <c r="J48" i="82"/>
  <c r="J47" i="82"/>
  <c r="J46" i="82"/>
  <c r="J45" i="82"/>
  <c r="J44" i="82"/>
  <c r="J43" i="82"/>
  <c r="J42" i="82"/>
  <c r="J41" i="82"/>
  <c r="J40" i="82"/>
  <c r="J39" i="82"/>
  <c r="J38" i="82"/>
  <c r="J37" i="82"/>
  <c r="J35" i="82"/>
  <c r="J34" i="82"/>
  <c r="J33" i="82"/>
  <c r="J31" i="82"/>
  <c r="J30" i="82"/>
  <c r="J29" i="82"/>
  <c r="J28" i="82"/>
  <c r="J27" i="82"/>
  <c r="J26" i="82"/>
  <c r="J25" i="82"/>
  <c r="J24" i="82"/>
  <c r="J22" i="82"/>
  <c r="J21" i="82"/>
  <c r="J20" i="82"/>
  <c r="J19" i="82"/>
  <c r="J18" i="82"/>
  <c r="J17" i="82"/>
  <c r="J16" i="82"/>
  <c r="J15" i="82"/>
  <c r="J14" i="82"/>
  <c r="J13" i="82"/>
  <c r="J12" i="82"/>
  <c r="J11" i="82"/>
  <c r="J10" i="82"/>
  <c r="I4" i="82"/>
  <c r="H4" i="82"/>
  <c r="J70" i="82" l="1"/>
  <c r="I120" i="82"/>
  <c r="H120" i="82"/>
  <c r="J73" i="82"/>
  <c r="J23" i="82"/>
  <c r="J96" i="82"/>
  <c r="J99" i="82"/>
  <c r="I123" i="82" l="1"/>
  <c r="H123" i="82"/>
  <c r="J54" i="81" l="1"/>
  <c r="J54" i="79"/>
  <c r="F54" i="78"/>
  <c r="G54" i="78"/>
  <c r="I54" i="78"/>
  <c r="J54" i="77"/>
  <c r="J54" i="78" l="1"/>
  <c r="J100" i="79"/>
  <c r="H23" i="81"/>
  <c r="G23" i="81"/>
  <c r="G137" i="81" l="1"/>
  <c r="F137" i="81"/>
  <c r="G135" i="81"/>
  <c r="F135" i="81"/>
  <c r="G134" i="81"/>
  <c r="F134" i="81"/>
  <c r="G133" i="81"/>
  <c r="F133" i="81"/>
  <c r="G132" i="81"/>
  <c r="F132" i="81"/>
  <c r="J104" i="81"/>
  <c r="J103" i="81"/>
  <c r="I102" i="81"/>
  <c r="H102" i="81"/>
  <c r="F102" i="81"/>
  <c r="J101" i="81"/>
  <c r="J100" i="81"/>
  <c r="J98" i="81"/>
  <c r="J97" i="81"/>
  <c r="I96" i="81"/>
  <c r="J95" i="81"/>
  <c r="J94" i="81"/>
  <c r="J93" i="81"/>
  <c r="J92" i="81"/>
  <c r="J91" i="81"/>
  <c r="J90" i="81"/>
  <c r="J87" i="81"/>
  <c r="J86" i="81"/>
  <c r="J85" i="81"/>
  <c r="J84" i="81"/>
  <c r="J83" i="81"/>
  <c r="F82" i="81"/>
  <c r="J81" i="81"/>
  <c r="J80" i="81"/>
  <c r="J79" i="81"/>
  <c r="J78" i="81"/>
  <c r="J77" i="81"/>
  <c r="J76" i="81"/>
  <c r="J75" i="81"/>
  <c r="I73" i="81"/>
  <c r="H73" i="81"/>
  <c r="J72" i="81"/>
  <c r="J71" i="81"/>
  <c r="J69" i="81"/>
  <c r="J67" i="81"/>
  <c r="J66" i="81"/>
  <c r="I65" i="81"/>
  <c r="H65" i="81"/>
  <c r="F65" i="81"/>
  <c r="J64" i="81"/>
  <c r="J63" i="81"/>
  <c r="J62" i="81"/>
  <c r="J60" i="81"/>
  <c r="J59" i="81"/>
  <c r="J58" i="81"/>
  <c r="J57" i="81"/>
  <c r="J56" i="81"/>
  <c r="J53" i="81"/>
  <c r="J52" i="81"/>
  <c r="J51" i="81"/>
  <c r="J50" i="81"/>
  <c r="J49" i="81"/>
  <c r="J48" i="81"/>
  <c r="J47" i="81"/>
  <c r="J46" i="81"/>
  <c r="J45" i="81"/>
  <c r="J44" i="81"/>
  <c r="J43" i="81"/>
  <c r="J42" i="81"/>
  <c r="J41" i="81"/>
  <c r="J40" i="81"/>
  <c r="J39" i="81"/>
  <c r="J38" i="81"/>
  <c r="J37" i="81"/>
  <c r="J35" i="81"/>
  <c r="J34" i="81"/>
  <c r="J33" i="81"/>
  <c r="J31" i="81"/>
  <c r="J30" i="81"/>
  <c r="J29" i="81"/>
  <c r="J28" i="81"/>
  <c r="J27" i="81"/>
  <c r="J26" i="81"/>
  <c r="J25" i="81"/>
  <c r="J24" i="81"/>
  <c r="J22" i="81"/>
  <c r="J21" i="81"/>
  <c r="J20" i="81"/>
  <c r="J19" i="81"/>
  <c r="J18" i="81"/>
  <c r="J17" i="81"/>
  <c r="J16" i="81"/>
  <c r="J15" i="81"/>
  <c r="J14" i="81"/>
  <c r="J13" i="81"/>
  <c r="J12" i="81"/>
  <c r="J11" i="81"/>
  <c r="J10" i="81"/>
  <c r="H4" i="81"/>
  <c r="F141" i="65"/>
  <c r="J136" i="65"/>
  <c r="I120" i="81" l="1"/>
  <c r="I4" i="81"/>
  <c r="H120" i="81"/>
  <c r="J23" i="81"/>
  <c r="J73" i="81"/>
  <c r="J96" i="81"/>
  <c r="J99" i="81"/>
  <c r="H123" i="81" l="1"/>
  <c r="I123" i="81"/>
  <c r="J33" i="64" l="1"/>
  <c r="J33" i="65"/>
  <c r="J33" i="69"/>
  <c r="J33" i="77"/>
  <c r="J33" i="79" l="1"/>
  <c r="J33" i="78"/>
  <c r="J28" i="79"/>
  <c r="J28" i="78"/>
  <c r="J28" i="77"/>
  <c r="J28" i="69"/>
  <c r="J109" i="77"/>
  <c r="J118" i="69"/>
  <c r="J112" i="69"/>
  <c r="G137" i="69"/>
  <c r="F137" i="69"/>
  <c r="G135" i="69"/>
  <c r="F135" i="69"/>
  <c r="G134" i="69"/>
  <c r="F134" i="69"/>
  <c r="G133" i="69"/>
  <c r="F133" i="69"/>
  <c r="G132" i="69"/>
  <c r="F132" i="69"/>
  <c r="G137" i="65"/>
  <c r="F137" i="65"/>
  <c r="J139" i="65"/>
  <c r="F129" i="65" s="1"/>
  <c r="G136" i="65"/>
  <c r="F136" i="65"/>
  <c r="G135" i="65"/>
  <c r="F135" i="65"/>
  <c r="G134" i="65"/>
  <c r="F134" i="65"/>
  <c r="G133" i="65"/>
  <c r="F133" i="65"/>
  <c r="G132" i="65"/>
  <c r="F132" i="65"/>
  <c r="J118" i="65"/>
  <c r="J109" i="65"/>
  <c r="J112" i="65"/>
  <c r="J107" i="65"/>
  <c r="J116" i="65"/>
  <c r="J28" i="65"/>
  <c r="J115" i="65"/>
  <c r="J10" i="65"/>
  <c r="J31" i="65"/>
  <c r="J106" i="65"/>
  <c r="J117" i="65"/>
  <c r="J108" i="65"/>
  <c r="G137" i="64"/>
  <c r="F137" i="64"/>
  <c r="J136" i="64"/>
  <c r="J118" i="64"/>
  <c r="J109" i="64"/>
  <c r="J112" i="64"/>
  <c r="J116" i="64"/>
  <c r="J28" i="64"/>
  <c r="J31" i="64"/>
  <c r="J106" i="64"/>
  <c r="J117" i="64"/>
  <c r="J108" i="64"/>
  <c r="G23" i="79" l="1"/>
  <c r="J10" i="78" l="1"/>
  <c r="J10" i="79"/>
  <c r="J132" i="79" l="1"/>
  <c r="G132" i="79" s="1"/>
  <c r="J109" i="78"/>
  <c r="J109" i="69"/>
  <c r="J113" i="78"/>
  <c r="J114" i="77"/>
  <c r="J113" i="69"/>
  <c r="J112" i="78"/>
  <c r="J112" i="77"/>
  <c r="G107" i="78"/>
  <c r="J107" i="78" s="1"/>
  <c r="G107" i="77"/>
  <c r="G107" i="69"/>
  <c r="J116" i="78"/>
  <c r="J116" i="77"/>
  <c r="J116" i="69"/>
  <c r="J115" i="78"/>
  <c r="J115" i="77"/>
  <c r="J115" i="69"/>
  <c r="J10" i="77"/>
  <c r="J10" i="69"/>
  <c r="J31" i="79"/>
  <c r="J31" i="78"/>
  <c r="J31" i="77"/>
  <c r="J31" i="69"/>
  <c r="J106" i="78"/>
  <c r="J106" i="77"/>
  <c r="J106" i="69"/>
  <c r="J117" i="78"/>
  <c r="J117" i="77"/>
  <c r="J117" i="69"/>
  <c r="J108" i="78"/>
  <c r="J107" i="77" l="1"/>
  <c r="J107" i="69"/>
  <c r="J108" i="77"/>
  <c r="J108" i="69"/>
  <c r="G135" i="79" l="1"/>
  <c r="F135" i="79"/>
  <c r="G134" i="79"/>
  <c r="F134" i="79"/>
  <c r="G133" i="79"/>
  <c r="F133" i="79"/>
  <c r="J104" i="79"/>
  <c r="J103" i="79"/>
  <c r="I102" i="79"/>
  <c r="H102" i="79"/>
  <c r="F102" i="79"/>
  <c r="J101" i="79"/>
  <c r="J99" i="79"/>
  <c r="J98" i="79"/>
  <c r="J97" i="79"/>
  <c r="I96" i="79"/>
  <c r="J95" i="79"/>
  <c r="J94" i="79"/>
  <c r="J93" i="79"/>
  <c r="J92" i="79"/>
  <c r="J91" i="79"/>
  <c r="J90" i="79"/>
  <c r="J87" i="79"/>
  <c r="J86" i="79"/>
  <c r="J85" i="79"/>
  <c r="J84" i="79"/>
  <c r="J83" i="79"/>
  <c r="F82" i="79"/>
  <c r="J81" i="79"/>
  <c r="J80" i="79"/>
  <c r="J79" i="79"/>
  <c r="J78" i="79"/>
  <c r="J77" i="79"/>
  <c r="J76" i="79"/>
  <c r="J75" i="79"/>
  <c r="I73" i="79"/>
  <c r="H73" i="79"/>
  <c r="I70" i="79"/>
  <c r="H70" i="79"/>
  <c r="J69" i="79"/>
  <c r="J67" i="79"/>
  <c r="J66" i="79"/>
  <c r="I65" i="79"/>
  <c r="H65" i="79"/>
  <c r="F65" i="79"/>
  <c r="J64" i="79"/>
  <c r="J63" i="79"/>
  <c r="J62" i="79"/>
  <c r="J60" i="79"/>
  <c r="J59" i="79"/>
  <c r="J58" i="79"/>
  <c r="J57" i="79"/>
  <c r="J56" i="79"/>
  <c r="J53" i="79"/>
  <c r="J52" i="79"/>
  <c r="J51" i="79"/>
  <c r="J50" i="79"/>
  <c r="J49" i="79"/>
  <c r="J48" i="79"/>
  <c r="J47" i="79"/>
  <c r="J46" i="79"/>
  <c r="J45" i="79"/>
  <c r="J44" i="79"/>
  <c r="J43" i="79"/>
  <c r="J42" i="79"/>
  <c r="J41" i="79"/>
  <c r="J40" i="79"/>
  <c r="J39" i="79"/>
  <c r="J38" i="79"/>
  <c r="J37" i="79"/>
  <c r="J35" i="79"/>
  <c r="J34" i="79"/>
  <c r="J30" i="79"/>
  <c r="J29" i="79"/>
  <c r="J27" i="79"/>
  <c r="J26" i="79"/>
  <c r="J25" i="79"/>
  <c r="J24" i="79"/>
  <c r="J22" i="79"/>
  <c r="J21" i="79"/>
  <c r="J20" i="79"/>
  <c r="J19" i="79"/>
  <c r="J18" i="79"/>
  <c r="J17" i="79"/>
  <c r="J16" i="79"/>
  <c r="J15" i="79"/>
  <c r="J14" i="79"/>
  <c r="J13" i="79"/>
  <c r="J12" i="79"/>
  <c r="J11" i="79"/>
  <c r="J70" i="79" l="1"/>
  <c r="H120" i="79"/>
  <c r="H4" i="79"/>
  <c r="J73" i="79"/>
  <c r="I4" i="79"/>
  <c r="J96" i="79"/>
  <c r="J72" i="79"/>
  <c r="J23" i="79"/>
  <c r="I120" i="79"/>
  <c r="J21" i="78"/>
  <c r="H123" i="79" l="1"/>
  <c r="I123" i="79"/>
  <c r="J70" i="77" l="1"/>
  <c r="J72" i="78" l="1"/>
  <c r="G72" i="77"/>
  <c r="F72" i="77"/>
  <c r="G72" i="65"/>
  <c r="F72" i="65"/>
  <c r="F72" i="69"/>
  <c r="G72" i="69"/>
  <c r="J72" i="77" l="1"/>
  <c r="J72" i="65"/>
  <c r="J72" i="69"/>
  <c r="J27" i="78"/>
  <c r="J27" i="77"/>
  <c r="J100" i="78" l="1"/>
  <c r="J93" i="77" l="1"/>
  <c r="H23" i="78" l="1"/>
  <c r="G23" i="78"/>
  <c r="G135" i="78" l="1"/>
  <c r="F135" i="78"/>
  <c r="G134" i="78"/>
  <c r="F134" i="78"/>
  <c r="G133" i="78"/>
  <c r="F133" i="78"/>
  <c r="J110" i="78"/>
  <c r="J104" i="78"/>
  <c r="J103" i="78"/>
  <c r="I102" i="78"/>
  <c r="H102" i="78"/>
  <c r="F102" i="78"/>
  <c r="J101" i="78"/>
  <c r="J99" i="78"/>
  <c r="J98" i="78"/>
  <c r="J97" i="78"/>
  <c r="I96" i="78"/>
  <c r="J95" i="78"/>
  <c r="J94" i="78"/>
  <c r="J93" i="78"/>
  <c r="J92" i="78"/>
  <c r="J91" i="78"/>
  <c r="J90" i="78"/>
  <c r="J87" i="78"/>
  <c r="J86" i="78"/>
  <c r="J85" i="78"/>
  <c r="J84" i="78"/>
  <c r="J83" i="78"/>
  <c r="F82" i="78"/>
  <c r="J81" i="78"/>
  <c r="J80" i="78"/>
  <c r="J79" i="78"/>
  <c r="J78" i="78"/>
  <c r="J77" i="78"/>
  <c r="J76" i="78"/>
  <c r="J75" i="78"/>
  <c r="I73" i="78"/>
  <c r="H73" i="78"/>
  <c r="J71" i="78"/>
  <c r="I70" i="78"/>
  <c r="H70" i="78"/>
  <c r="J69" i="78"/>
  <c r="J67" i="78"/>
  <c r="J66" i="78"/>
  <c r="I65" i="78"/>
  <c r="H65" i="78"/>
  <c r="F65" i="78"/>
  <c r="J64" i="78"/>
  <c r="J63" i="78"/>
  <c r="J62" i="78"/>
  <c r="J60" i="78"/>
  <c r="J59" i="78"/>
  <c r="J58" i="78"/>
  <c r="J57" i="78"/>
  <c r="J56" i="78"/>
  <c r="J53" i="78"/>
  <c r="J52" i="78"/>
  <c r="J51" i="78"/>
  <c r="J50" i="78"/>
  <c r="J49" i="78"/>
  <c r="J48" i="78"/>
  <c r="J47" i="78"/>
  <c r="J46" i="78"/>
  <c r="J45" i="78"/>
  <c r="J44" i="78"/>
  <c r="J43" i="78"/>
  <c r="J42" i="78"/>
  <c r="J41" i="78"/>
  <c r="J40" i="78"/>
  <c r="J39" i="78"/>
  <c r="J38" i="78"/>
  <c r="J37" i="78"/>
  <c r="J35" i="78"/>
  <c r="J34" i="78"/>
  <c r="J30" i="78"/>
  <c r="J29" i="78"/>
  <c r="J26" i="78"/>
  <c r="J25" i="78"/>
  <c r="J24" i="78"/>
  <c r="J23" i="78"/>
  <c r="J22" i="78"/>
  <c r="J20" i="78"/>
  <c r="J19" i="78"/>
  <c r="J18" i="78"/>
  <c r="J17" i="78"/>
  <c r="J16" i="78"/>
  <c r="J15" i="78"/>
  <c r="J14" i="78"/>
  <c r="J12" i="78"/>
  <c r="J11" i="78"/>
  <c r="I4" i="78" l="1"/>
  <c r="H4" i="78"/>
  <c r="J13" i="78"/>
  <c r="I120" i="78"/>
  <c r="J96" i="78"/>
  <c r="J73" i="78"/>
  <c r="H120" i="78"/>
  <c r="H102" i="77"/>
  <c r="I102" i="77"/>
  <c r="F102" i="77"/>
  <c r="I96" i="77"/>
  <c r="F82" i="77"/>
  <c r="G65" i="69"/>
  <c r="G82" i="69"/>
  <c r="G102" i="69"/>
  <c r="J77" i="69"/>
  <c r="F89" i="69"/>
  <c r="G89" i="69"/>
  <c r="J88" i="69"/>
  <c r="G21" i="69"/>
  <c r="J136" i="69" l="1"/>
  <c r="G102" i="83"/>
  <c r="G82" i="83"/>
  <c r="G89" i="83"/>
  <c r="F89" i="83"/>
  <c r="G65" i="83"/>
  <c r="J88" i="83"/>
  <c r="G89" i="82"/>
  <c r="G89" i="81"/>
  <c r="G89" i="79"/>
  <c r="J139" i="69"/>
  <c r="G136" i="69"/>
  <c r="F136" i="69"/>
  <c r="G82" i="82"/>
  <c r="G82" i="81"/>
  <c r="G82" i="79"/>
  <c r="J88" i="78"/>
  <c r="J88" i="82"/>
  <c r="J88" i="81"/>
  <c r="J88" i="79"/>
  <c r="F89" i="82"/>
  <c r="F89" i="81"/>
  <c r="F89" i="79"/>
  <c r="G102" i="82"/>
  <c r="G102" i="81"/>
  <c r="G102" i="79"/>
  <c r="J61" i="78"/>
  <c r="G65" i="78"/>
  <c r="G65" i="82"/>
  <c r="G65" i="81"/>
  <c r="G65" i="79"/>
  <c r="G82" i="77"/>
  <c r="G82" i="78"/>
  <c r="J113" i="77"/>
  <c r="G102" i="77"/>
  <c r="G102" i="78"/>
  <c r="J21" i="69"/>
  <c r="G89" i="77"/>
  <c r="G89" i="78"/>
  <c r="F89" i="77"/>
  <c r="F89" i="78"/>
  <c r="I123" i="78"/>
  <c r="H123" i="78"/>
  <c r="J102" i="69"/>
  <c r="J89" i="69"/>
  <c r="G65" i="77"/>
  <c r="H65" i="77"/>
  <c r="I65" i="77"/>
  <c r="F65" i="77"/>
  <c r="J88" i="77"/>
  <c r="J136" i="84" l="1"/>
  <c r="J136" i="83"/>
  <c r="J82" i="83"/>
  <c r="J82" i="79"/>
  <c r="J136" i="79"/>
  <c r="J136" i="78"/>
  <c r="G136" i="78" s="1"/>
  <c r="F4" i="84"/>
  <c r="F120" i="84"/>
  <c r="J89" i="83"/>
  <c r="G4" i="83"/>
  <c r="G120" i="83"/>
  <c r="J65" i="83"/>
  <c r="J102" i="83"/>
  <c r="F4" i="83"/>
  <c r="F120" i="83"/>
  <c r="F136" i="83"/>
  <c r="J139" i="83"/>
  <c r="G136" i="83"/>
  <c r="G4" i="84"/>
  <c r="G120" i="84"/>
  <c r="G136" i="84"/>
  <c r="J139" i="84"/>
  <c r="F136" i="84"/>
  <c r="J65" i="78"/>
  <c r="J65" i="81"/>
  <c r="J61" i="81"/>
  <c r="F120" i="81"/>
  <c r="F4" i="81"/>
  <c r="J136" i="81"/>
  <c r="G4" i="81"/>
  <c r="G120" i="81"/>
  <c r="J82" i="81"/>
  <c r="J102" i="82"/>
  <c r="J102" i="81"/>
  <c r="J102" i="79"/>
  <c r="J89" i="82"/>
  <c r="J89" i="81"/>
  <c r="J89" i="79"/>
  <c r="J65" i="79"/>
  <c r="J65" i="82"/>
  <c r="F4" i="79"/>
  <c r="F120" i="79"/>
  <c r="J61" i="79"/>
  <c r="J61" i="82"/>
  <c r="F4" i="82"/>
  <c r="F120" i="82"/>
  <c r="G136" i="79"/>
  <c r="F136" i="79"/>
  <c r="J136" i="82"/>
  <c r="G120" i="79"/>
  <c r="G4" i="79"/>
  <c r="G120" i="82"/>
  <c r="G4" i="82"/>
  <c r="J82" i="82"/>
  <c r="J102" i="77"/>
  <c r="J102" i="78"/>
  <c r="J82" i="78"/>
  <c r="J89" i="77"/>
  <c r="J89" i="78"/>
  <c r="H73" i="77"/>
  <c r="I73" i="77"/>
  <c r="J82" i="69"/>
  <c r="J82" i="77"/>
  <c r="F136" i="78" l="1"/>
  <c r="J120" i="84"/>
  <c r="J120" i="83"/>
  <c r="F129" i="83"/>
  <c r="F123" i="83" s="1"/>
  <c r="G129" i="83"/>
  <c r="G123" i="83" s="1"/>
  <c r="F129" i="84"/>
  <c r="F123" i="84" s="1"/>
  <c r="G129" i="84"/>
  <c r="G123" i="84" s="1"/>
  <c r="F121" i="83"/>
  <c r="J121" i="83"/>
  <c r="F121" i="84"/>
  <c r="J121" i="84"/>
  <c r="F136" i="81"/>
  <c r="G136" i="81"/>
  <c r="J139" i="81"/>
  <c r="J139" i="82"/>
  <c r="F136" i="82"/>
  <c r="G136" i="82"/>
  <c r="F121" i="82"/>
  <c r="J121" i="82"/>
  <c r="J120" i="82"/>
  <c r="J121" i="79"/>
  <c r="F121" i="79"/>
  <c r="F121" i="81"/>
  <c r="J121" i="81"/>
  <c r="J120" i="81"/>
  <c r="J61" i="77"/>
  <c r="K121" i="84" l="1"/>
  <c r="K121" i="83"/>
  <c r="J123" i="84"/>
  <c r="F124" i="84"/>
  <c r="J123" i="83"/>
  <c r="F124" i="83"/>
  <c r="K121" i="81"/>
  <c r="K121" i="82"/>
  <c r="G129" i="82"/>
  <c r="G123" i="82" s="1"/>
  <c r="F129" i="82"/>
  <c r="F123" i="82" s="1"/>
  <c r="F129" i="81"/>
  <c r="F123" i="81" s="1"/>
  <c r="G129" i="81"/>
  <c r="G123" i="81" s="1"/>
  <c r="F132" i="79"/>
  <c r="G141" i="65"/>
  <c r="H141" i="65"/>
  <c r="I141" i="65"/>
  <c r="F125" i="84" l="1"/>
  <c r="F125" i="83"/>
  <c r="J125" i="83"/>
  <c r="K123" i="83"/>
  <c r="I125" i="83"/>
  <c r="H125" i="83"/>
  <c r="G125" i="83"/>
  <c r="J125" i="84"/>
  <c r="K123" i="84"/>
  <c r="H125" i="84"/>
  <c r="I125" i="84"/>
  <c r="G125" i="84"/>
  <c r="F124" i="82"/>
  <c r="F124" i="81"/>
  <c r="J123" i="81"/>
  <c r="J123" i="82"/>
  <c r="J126" i="84" l="1"/>
  <c r="J126" i="83"/>
  <c r="F125" i="81"/>
  <c r="H125" i="82"/>
  <c r="K123" i="82"/>
  <c r="I125" i="82"/>
  <c r="J125" i="82"/>
  <c r="J125" i="81"/>
  <c r="I125" i="81"/>
  <c r="K123" i="81"/>
  <c r="H125" i="81"/>
  <c r="G125" i="81"/>
  <c r="G125" i="82"/>
  <c r="F125" i="82"/>
  <c r="J126" i="81" l="1"/>
  <c r="J126" i="82"/>
  <c r="J50" i="69" l="1"/>
  <c r="I90" i="69" l="1"/>
  <c r="H90" i="69"/>
  <c r="G90" i="69"/>
  <c r="F90" i="69"/>
  <c r="G23" i="77" l="1"/>
  <c r="G135" i="77" l="1"/>
  <c r="F135" i="77"/>
  <c r="G134" i="77"/>
  <c r="F134" i="77"/>
  <c r="G133" i="77"/>
  <c r="F133" i="77"/>
  <c r="J110" i="77"/>
  <c r="J104" i="77"/>
  <c r="J103" i="77"/>
  <c r="J101" i="77"/>
  <c r="J100" i="77"/>
  <c r="J99" i="77"/>
  <c r="J98" i="77"/>
  <c r="J97" i="77"/>
  <c r="J96" i="77"/>
  <c r="J95" i="77"/>
  <c r="J94" i="77"/>
  <c r="J92" i="77"/>
  <c r="J91" i="77"/>
  <c r="J90" i="77"/>
  <c r="J87" i="77"/>
  <c r="J86" i="77"/>
  <c r="J85" i="77"/>
  <c r="J84" i="77"/>
  <c r="J83" i="77"/>
  <c r="J81" i="77"/>
  <c r="J80" i="77"/>
  <c r="J79" i="77"/>
  <c r="J78" i="77"/>
  <c r="J77" i="77"/>
  <c r="J76" i="77"/>
  <c r="J75" i="77"/>
  <c r="J71" i="77"/>
  <c r="J69" i="77"/>
  <c r="J67" i="77"/>
  <c r="J66" i="77"/>
  <c r="J65" i="77"/>
  <c r="J64" i="77"/>
  <c r="J63" i="77"/>
  <c r="J62" i="77"/>
  <c r="J60" i="77"/>
  <c r="J59" i="77"/>
  <c r="J58" i="77"/>
  <c r="J57" i="77"/>
  <c r="J56" i="77"/>
  <c r="J53" i="77"/>
  <c r="J52" i="77"/>
  <c r="J51" i="77"/>
  <c r="J50" i="77"/>
  <c r="J49" i="77"/>
  <c r="J48" i="77"/>
  <c r="J47" i="77"/>
  <c r="J46" i="77"/>
  <c r="J45" i="77"/>
  <c r="J44" i="77"/>
  <c r="J43" i="77"/>
  <c r="J42" i="77"/>
  <c r="J41" i="77"/>
  <c r="J40" i="77"/>
  <c r="J39" i="77"/>
  <c r="J38" i="77"/>
  <c r="J37" i="77"/>
  <c r="J35" i="77"/>
  <c r="J34" i="77"/>
  <c r="J25" i="77"/>
  <c r="J22" i="77"/>
  <c r="J20" i="77"/>
  <c r="J19" i="77"/>
  <c r="J18" i="77"/>
  <c r="J17" i="77"/>
  <c r="J16" i="77"/>
  <c r="J11" i="77"/>
  <c r="J136" i="77" l="1"/>
  <c r="J15" i="77"/>
  <c r="J24" i="77"/>
  <c r="J30" i="77"/>
  <c r="J14" i="77"/>
  <c r="J29" i="77"/>
  <c r="J26" i="77"/>
  <c r="J12" i="77"/>
  <c r="J13" i="77"/>
  <c r="J23" i="77"/>
  <c r="J73" i="77"/>
  <c r="G136" i="77" l="1"/>
  <c r="F136" i="77"/>
  <c r="J120" i="79" l="1"/>
  <c r="J118" i="77"/>
  <c r="J118" i="78"/>
  <c r="H70" i="65"/>
  <c r="I70" i="65"/>
  <c r="K121" i="79" l="1"/>
  <c r="F137" i="79"/>
  <c r="J139" i="79"/>
  <c r="G132" i="78"/>
  <c r="I149" i="65"/>
  <c r="G149" i="65"/>
  <c r="F149" i="65"/>
  <c r="H149" i="65"/>
  <c r="F132" i="77"/>
  <c r="G132" i="77"/>
  <c r="J61" i="69"/>
  <c r="G129" i="79" l="1"/>
  <c r="F129" i="79"/>
  <c r="F123" i="79" s="1"/>
  <c r="J139" i="78"/>
  <c r="F129" i="78" s="1"/>
  <c r="F132" i="78"/>
  <c r="F137" i="78"/>
  <c r="G137" i="78"/>
  <c r="J70" i="78"/>
  <c r="I120" i="77"/>
  <c r="I4" i="77"/>
  <c r="H4" i="77"/>
  <c r="H120" i="77"/>
  <c r="G20" i="69"/>
  <c r="G13" i="69"/>
  <c r="J30" i="65"/>
  <c r="J29" i="65"/>
  <c r="J26" i="65"/>
  <c r="J24" i="65"/>
  <c r="J20" i="65"/>
  <c r="J21" i="65"/>
  <c r="J22" i="65"/>
  <c r="J19" i="65"/>
  <c r="J12" i="65"/>
  <c r="J13" i="65"/>
  <c r="J14" i="65"/>
  <c r="J15" i="65"/>
  <c r="J16" i="65"/>
  <c r="J17" i="65"/>
  <c r="J11" i="65"/>
  <c r="G123" i="79" l="1"/>
  <c r="G129" i="78"/>
  <c r="J123" i="79"/>
  <c r="F124" i="79"/>
  <c r="H123" i="77"/>
  <c r="I123" i="77"/>
  <c r="F125" i="79" l="1"/>
  <c r="I125" i="79"/>
  <c r="J125" i="79"/>
  <c r="H125" i="79"/>
  <c r="K123" i="79"/>
  <c r="G125" i="79"/>
  <c r="G23" i="69"/>
  <c r="J126" i="79" l="1"/>
  <c r="J44" i="69" l="1"/>
  <c r="J110" i="69" l="1"/>
  <c r="J104" i="69"/>
  <c r="J103" i="69"/>
  <c r="J101" i="69"/>
  <c r="J100" i="69"/>
  <c r="J99" i="69"/>
  <c r="J98" i="69"/>
  <c r="J97" i="69"/>
  <c r="J96" i="69"/>
  <c r="J95" i="69"/>
  <c r="J94" i="69"/>
  <c r="J93" i="69"/>
  <c r="J92" i="69"/>
  <c r="J91" i="69"/>
  <c r="J90" i="69"/>
  <c r="J87" i="69"/>
  <c r="J86" i="69"/>
  <c r="J85" i="69"/>
  <c r="J84" i="69"/>
  <c r="J83" i="69"/>
  <c r="J81" i="69"/>
  <c r="J80" i="69"/>
  <c r="J79" i="69"/>
  <c r="J78" i="69"/>
  <c r="J76" i="69"/>
  <c r="J75" i="69"/>
  <c r="J73" i="69"/>
  <c r="J71" i="69"/>
  <c r="J70" i="69"/>
  <c r="J69" i="69"/>
  <c r="J67" i="69"/>
  <c r="J66" i="69"/>
  <c r="J65" i="69"/>
  <c r="J64" i="69"/>
  <c r="J63" i="69"/>
  <c r="J62" i="69"/>
  <c r="J60" i="69"/>
  <c r="J59" i="69"/>
  <c r="J58" i="69"/>
  <c r="J57" i="69"/>
  <c r="J56" i="69"/>
  <c r="J54" i="69"/>
  <c r="J53" i="69"/>
  <c r="J52" i="69"/>
  <c r="J51" i="69"/>
  <c r="J49" i="69"/>
  <c r="J48" i="69"/>
  <c r="J47" i="69"/>
  <c r="J46" i="69"/>
  <c r="J45" i="69"/>
  <c r="J43" i="69"/>
  <c r="J42" i="69"/>
  <c r="J41" i="69"/>
  <c r="J40" i="69"/>
  <c r="J39" i="69"/>
  <c r="J38" i="69"/>
  <c r="J37" i="69"/>
  <c r="J35" i="69"/>
  <c r="J34" i="69"/>
  <c r="J30" i="69"/>
  <c r="J29" i="69"/>
  <c r="J27" i="69"/>
  <c r="J26" i="69"/>
  <c r="J25" i="69"/>
  <c r="J24" i="69"/>
  <c r="J22" i="69"/>
  <c r="J20" i="69"/>
  <c r="J19" i="69"/>
  <c r="J18" i="69"/>
  <c r="J17" i="69"/>
  <c r="J16" i="69"/>
  <c r="J15" i="69"/>
  <c r="J14" i="69"/>
  <c r="J13" i="69"/>
  <c r="J12" i="69"/>
  <c r="J11" i="69"/>
  <c r="J114" i="69" l="1"/>
  <c r="I4" i="69"/>
  <c r="H4" i="69"/>
  <c r="J23" i="69"/>
  <c r="H120" i="69"/>
  <c r="I120" i="69"/>
  <c r="G23" i="65"/>
  <c r="J114" i="78" l="1"/>
  <c r="I123" i="69"/>
  <c r="H123" i="69"/>
  <c r="J66" i="65" l="1"/>
  <c r="J66" i="64"/>
  <c r="G96" i="64" l="1"/>
  <c r="J45" i="65" l="1"/>
  <c r="J110" i="65" l="1"/>
  <c r="J104" i="65"/>
  <c r="J103" i="65"/>
  <c r="J102" i="65"/>
  <c r="J101" i="65"/>
  <c r="J100" i="65"/>
  <c r="J99" i="65"/>
  <c r="J98" i="65"/>
  <c r="J97" i="65"/>
  <c r="J95" i="65"/>
  <c r="J94" i="65"/>
  <c r="J93" i="65"/>
  <c r="J92" i="65"/>
  <c r="J91" i="65"/>
  <c r="J90" i="65"/>
  <c r="J87" i="65"/>
  <c r="J86" i="65"/>
  <c r="J85" i="65"/>
  <c r="J84" i="65"/>
  <c r="J83" i="65"/>
  <c r="J82" i="65"/>
  <c r="J81" i="65"/>
  <c r="J80" i="65"/>
  <c r="J79" i="65"/>
  <c r="J78" i="65"/>
  <c r="J76" i="65"/>
  <c r="J75" i="65"/>
  <c r="J73" i="65"/>
  <c r="J71" i="65"/>
  <c r="J70" i="65"/>
  <c r="J69" i="65"/>
  <c r="J67" i="65"/>
  <c r="J65" i="65"/>
  <c r="J64" i="65"/>
  <c r="J63" i="65"/>
  <c r="J62" i="65"/>
  <c r="J61" i="65"/>
  <c r="J60" i="65"/>
  <c r="J59" i="65"/>
  <c r="J58" i="65"/>
  <c r="J57" i="65"/>
  <c r="J56" i="65"/>
  <c r="J54" i="65"/>
  <c r="J53" i="65"/>
  <c r="J52" i="65"/>
  <c r="J51" i="65"/>
  <c r="J50" i="65"/>
  <c r="J49" i="65"/>
  <c r="J48" i="65"/>
  <c r="J47" i="65"/>
  <c r="J46" i="65"/>
  <c r="J44" i="65"/>
  <c r="J43" i="65"/>
  <c r="J42" i="65"/>
  <c r="J41" i="65"/>
  <c r="J40" i="65"/>
  <c r="J39" i="65"/>
  <c r="J38" i="65"/>
  <c r="J37" i="65"/>
  <c r="J35" i="65"/>
  <c r="J34" i="65"/>
  <c r="J27" i="65"/>
  <c r="J25" i="65"/>
  <c r="J18" i="65"/>
  <c r="G136" i="64"/>
  <c r="G135" i="64"/>
  <c r="F135" i="64"/>
  <c r="G134" i="64"/>
  <c r="F134" i="64"/>
  <c r="G133" i="64"/>
  <c r="F133" i="64"/>
  <c r="G132" i="64"/>
  <c r="H4" i="64"/>
  <c r="F120" i="64"/>
  <c r="J110" i="64"/>
  <c r="J104" i="64"/>
  <c r="J103" i="64"/>
  <c r="J102" i="64"/>
  <c r="J101" i="64"/>
  <c r="J100" i="64"/>
  <c r="J99" i="64"/>
  <c r="J98" i="64"/>
  <c r="J97" i="64"/>
  <c r="H96" i="64"/>
  <c r="J95" i="64"/>
  <c r="J94" i="64"/>
  <c r="J93" i="64"/>
  <c r="J92" i="64"/>
  <c r="J91" i="64"/>
  <c r="J90" i="64"/>
  <c r="J87" i="64"/>
  <c r="J86" i="64"/>
  <c r="J85" i="64"/>
  <c r="J84" i="64"/>
  <c r="J83" i="64"/>
  <c r="J82" i="64"/>
  <c r="J81" i="64"/>
  <c r="J80" i="64"/>
  <c r="J79" i="64"/>
  <c r="J78" i="64"/>
  <c r="J76" i="64"/>
  <c r="J75" i="64"/>
  <c r="J73" i="64"/>
  <c r="J72" i="64"/>
  <c r="J71" i="64"/>
  <c r="J70" i="64"/>
  <c r="J69" i="64"/>
  <c r="J67" i="64"/>
  <c r="J65" i="64"/>
  <c r="J64" i="64"/>
  <c r="J63" i="64"/>
  <c r="J62" i="64"/>
  <c r="J61" i="64"/>
  <c r="J60" i="64"/>
  <c r="J59" i="64"/>
  <c r="J58" i="64"/>
  <c r="J57" i="64"/>
  <c r="J56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5" i="64"/>
  <c r="J34" i="64"/>
  <c r="J30" i="64"/>
  <c r="J29" i="64"/>
  <c r="J27" i="64"/>
  <c r="J26" i="64"/>
  <c r="J25" i="64"/>
  <c r="J24" i="64"/>
  <c r="G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13" i="65" l="1"/>
  <c r="I4" i="65"/>
  <c r="F146" i="65"/>
  <c r="J114" i="65"/>
  <c r="G146" i="65"/>
  <c r="H146" i="65"/>
  <c r="I146" i="65"/>
  <c r="J149" i="65"/>
  <c r="G4" i="65"/>
  <c r="J23" i="64"/>
  <c r="F4" i="64"/>
  <c r="I4" i="64"/>
  <c r="G4" i="64"/>
  <c r="G120" i="64"/>
  <c r="F132" i="64"/>
  <c r="H120" i="65"/>
  <c r="G120" i="65"/>
  <c r="J23" i="65"/>
  <c r="F4" i="65"/>
  <c r="H4" i="65"/>
  <c r="J96" i="65"/>
  <c r="F120" i="65"/>
  <c r="I120" i="65"/>
  <c r="J139" i="64"/>
  <c r="I120" i="64"/>
  <c r="H120" i="64"/>
  <c r="F136" i="64"/>
  <c r="J96" i="64"/>
  <c r="F123" i="65" l="1"/>
  <c r="J146" i="65"/>
  <c r="H123" i="65"/>
  <c r="I123" i="65"/>
  <c r="F121" i="65"/>
  <c r="J121" i="65"/>
  <c r="F121" i="64"/>
  <c r="J121" i="64"/>
  <c r="F129" i="64"/>
  <c r="F123" i="64" s="1"/>
  <c r="G129" i="64"/>
  <c r="G123" i="64" s="1"/>
  <c r="H123" i="64"/>
  <c r="I123" i="64"/>
  <c r="J123" i="64" l="1"/>
  <c r="I150" i="65"/>
  <c r="H150" i="65"/>
  <c r="I147" i="65"/>
  <c r="H147" i="65"/>
  <c r="G129" i="65"/>
  <c r="G123" i="65" s="1"/>
  <c r="F124" i="64"/>
  <c r="J123" i="65" l="1"/>
  <c r="G150" i="65"/>
  <c r="G147" i="65"/>
  <c r="F150" i="65"/>
  <c r="F147" i="65"/>
  <c r="F124" i="65"/>
  <c r="H125" i="64"/>
  <c r="I125" i="64"/>
  <c r="G125" i="64"/>
  <c r="J125" i="64"/>
  <c r="F125" i="64"/>
  <c r="J150" i="65" l="1"/>
  <c r="J147" i="65"/>
  <c r="G125" i="65"/>
  <c r="J126" i="64"/>
  <c r="J125" i="65"/>
  <c r="H125" i="65"/>
  <c r="I125" i="65"/>
  <c r="F125" i="65"/>
  <c r="J126" i="65" l="1"/>
  <c r="J120" i="64" l="1"/>
  <c r="K121" i="64" l="1"/>
  <c r="K123" i="64"/>
  <c r="J120" i="65" l="1"/>
  <c r="K123" i="65" l="1"/>
  <c r="K121" i="65"/>
  <c r="F129" i="69" l="1"/>
  <c r="G129" i="69" l="1"/>
  <c r="F137" i="77"/>
  <c r="J139" i="77"/>
  <c r="G137" i="77"/>
  <c r="G129" i="77" l="1"/>
  <c r="F129" i="77"/>
  <c r="F120" i="69" l="1"/>
  <c r="F120" i="78"/>
  <c r="F4" i="69"/>
  <c r="F121" i="78" l="1"/>
  <c r="F123" i="78"/>
  <c r="F120" i="77"/>
  <c r="F4" i="78"/>
  <c r="F4" i="77"/>
  <c r="F121" i="69"/>
  <c r="F123" i="69"/>
  <c r="F124" i="78" l="1"/>
  <c r="F123" i="77"/>
  <c r="F121" i="77"/>
  <c r="F124" i="69"/>
  <c r="F124" i="77" l="1"/>
  <c r="G4" i="69" l="1"/>
  <c r="G120" i="69"/>
  <c r="G120" i="77"/>
  <c r="G120" i="78"/>
  <c r="G123" i="77" l="1"/>
  <c r="J121" i="69"/>
  <c r="G4" i="77"/>
  <c r="G4" i="78"/>
  <c r="J121" i="78"/>
  <c r="J121" i="77"/>
  <c r="J120" i="69"/>
  <c r="J120" i="77"/>
  <c r="G123" i="78"/>
  <c r="G123" i="69"/>
  <c r="J123" i="77" l="1"/>
  <c r="H125" i="77" s="1"/>
  <c r="J120" i="78"/>
  <c r="K121" i="77"/>
  <c r="J123" i="69"/>
  <c r="K121" i="69"/>
  <c r="J123" i="78"/>
  <c r="K123" i="77" l="1"/>
  <c r="G125" i="77"/>
  <c r="I125" i="77"/>
  <c r="J125" i="77"/>
  <c r="F125" i="77"/>
  <c r="J126" i="77" s="1"/>
  <c r="G125" i="78"/>
  <c r="H125" i="69"/>
  <c r="F125" i="69"/>
  <c r="I125" i="69"/>
  <c r="K123" i="69"/>
  <c r="J125" i="69"/>
  <c r="K121" i="78"/>
  <c r="H125" i="78"/>
  <c r="K123" i="78"/>
  <c r="I125" i="78"/>
  <c r="F125" i="78"/>
  <c r="J125" i="78"/>
  <c r="G125" i="69"/>
  <c r="J126" i="69" l="1"/>
  <c r="J126" i="78"/>
</calcChain>
</file>

<file path=xl/sharedStrings.xml><?xml version="1.0" encoding="utf-8"?>
<sst xmlns="http://schemas.openxmlformats.org/spreadsheetml/2006/main" count="5125" uniqueCount="328">
  <si>
    <t>Report on Marine Insurance Premium</t>
  </si>
  <si>
    <t>In USD 1.000</t>
  </si>
  <si>
    <t>Total sum</t>
  </si>
  <si>
    <t>not available</t>
  </si>
  <si>
    <t>Total</t>
  </si>
  <si>
    <t>NA</t>
  </si>
  <si>
    <t>Nigeria</t>
  </si>
  <si>
    <t>Transport/Cargo</t>
  </si>
  <si>
    <t>Marine Liability</t>
  </si>
  <si>
    <t>Europe</t>
  </si>
  <si>
    <t>Asia/Pacific</t>
  </si>
  <si>
    <t>Name of association</t>
  </si>
  <si>
    <t>Ukraine</t>
  </si>
  <si>
    <t>Albania</t>
  </si>
  <si>
    <t>Hull</t>
  </si>
  <si>
    <t>Hull+Liab</t>
  </si>
  <si>
    <t>incl. in hull</t>
  </si>
  <si>
    <t>France</t>
  </si>
  <si>
    <t>Germany</t>
  </si>
  <si>
    <t>Italy</t>
  </si>
  <si>
    <t>Japan</t>
  </si>
  <si>
    <t>Netherlands</t>
  </si>
  <si>
    <t>Belgium</t>
  </si>
  <si>
    <t>Distribution by line of business</t>
  </si>
  <si>
    <t>Russia</t>
  </si>
  <si>
    <t>Malaysia</t>
  </si>
  <si>
    <t>in 'Nordic (Cefor)'</t>
  </si>
  <si>
    <t>Other</t>
  </si>
  <si>
    <t>India</t>
  </si>
  <si>
    <t>with distribution adjustments</t>
  </si>
  <si>
    <t>China</t>
  </si>
  <si>
    <t>from Chinese yearbook</t>
  </si>
  <si>
    <t>Baltic countries</t>
  </si>
  <si>
    <t>Indonesia</t>
  </si>
  <si>
    <t>Vietnam</t>
  </si>
  <si>
    <t>United Arab Emirates</t>
  </si>
  <si>
    <t>Bahrain</t>
  </si>
  <si>
    <t>Saudi Arabia</t>
  </si>
  <si>
    <t>Syria</t>
  </si>
  <si>
    <t>Oman</t>
  </si>
  <si>
    <t>Iraq</t>
  </si>
  <si>
    <t>Palestine</t>
  </si>
  <si>
    <t>Qatar</t>
  </si>
  <si>
    <t>Kuwait</t>
  </si>
  <si>
    <t>Libya</t>
  </si>
  <si>
    <t>Yemen</t>
  </si>
  <si>
    <t>Algeria</t>
  </si>
  <si>
    <t>America - North America</t>
  </si>
  <si>
    <t>America - Latin America</t>
  </si>
  <si>
    <t>Africa</t>
  </si>
  <si>
    <t>Middle East</t>
  </si>
  <si>
    <t>Country</t>
  </si>
  <si>
    <t>Insurance Federation of Egypt</t>
  </si>
  <si>
    <t>F.M.S.A.R. &amp; Comité des Assureurs Maritime du Maroc CAMM</t>
  </si>
  <si>
    <t>Nigerian Insurers Association</t>
  </si>
  <si>
    <t>Association of Marine Underwriters in South Africa</t>
  </si>
  <si>
    <t>Fédération Tunisienne des Sociétés</t>
  </si>
  <si>
    <t>Bermuda Institute of Marine Underwriters</t>
  </si>
  <si>
    <t>The Canadian Board of Marine Underwriters</t>
  </si>
  <si>
    <t>Insurance Council of Australia</t>
  </si>
  <si>
    <t>China Pacific Property Insurance Co. Ltd</t>
  </si>
  <si>
    <t>The Non-Life Ins. Ass. of the Republic of Chinese Taipei</t>
  </si>
  <si>
    <t>The Hong Kong Federation of Insurers</t>
  </si>
  <si>
    <t>Israel Insurance Association</t>
  </si>
  <si>
    <t>The Marine and Fire Insurance Association of Japan, Inc.</t>
  </si>
  <si>
    <t>General Ins. Association of Malaysia</t>
  </si>
  <si>
    <t>Insurance Council of New Zealand</t>
  </si>
  <si>
    <t>General Insurance Association of Singapore</t>
  </si>
  <si>
    <t>Albanian Ass. of Marine Insurers</t>
  </si>
  <si>
    <t>Verband der Versicherungsunternehmen Oesterreichs</t>
  </si>
  <si>
    <t>ABAM_/BVT Belgian Association of Marine Insurers</t>
  </si>
  <si>
    <t>BULSTRAD Insurance and Reinsurance PLC</t>
  </si>
  <si>
    <t>Croatian Insurance Bureau</t>
  </si>
  <si>
    <t>Insurance Association of Cyprus</t>
  </si>
  <si>
    <t>Ceska Pojistovna AS</t>
  </si>
  <si>
    <t>Danish Insurance Association</t>
  </si>
  <si>
    <t>Finnish Marine Underwriters' Association</t>
  </si>
  <si>
    <t>FFSA-Féd.Francaise des Sociétés d'Ass.Transports</t>
  </si>
  <si>
    <t>Gesamtverband der Deutschen Versicherungswirtschaft e.V.</t>
  </si>
  <si>
    <t>Hellenic Association of Insurance Companies</t>
  </si>
  <si>
    <t>Association of Hungarian Insurance Companies</t>
  </si>
  <si>
    <t>The Irish Institute of Marine Underwriters</t>
  </si>
  <si>
    <t>ANIA-Associazione Nazionale fra le Imprese Assicuratrici</t>
  </si>
  <si>
    <t>Association of Insurers</t>
  </si>
  <si>
    <t>Cefor, The Nordic Association of Marine Insurers</t>
  </si>
  <si>
    <t>WARTA Insurance &amp; Reinsurance Co. SA</t>
  </si>
  <si>
    <t>(via Mutua dos Pescadores)</t>
  </si>
  <si>
    <t>National Union - Insurance and Reinsurance Comp.</t>
  </si>
  <si>
    <t>Slovenian Insurance Association</t>
  </si>
  <si>
    <t>Comité de Transportes de UNESPA</t>
  </si>
  <si>
    <t>Forsäkringsforbundet</t>
  </si>
  <si>
    <t>Swiss Association of Marine Underwriters</t>
  </si>
  <si>
    <t>Ass. of the Ins. and Reins. Companies of Türkiye</t>
  </si>
  <si>
    <t>Marine Insurance Bureau of Ukraine</t>
  </si>
  <si>
    <t>Int. Underwriting Association of London - IUA</t>
  </si>
  <si>
    <t>Lloyd's Underwriters' Association - LMA</t>
  </si>
  <si>
    <t>Association des Companie d'Assurances au Liban - ACAL</t>
  </si>
  <si>
    <t>Lebanon</t>
  </si>
  <si>
    <r>
      <t xml:space="preserve">Jordan </t>
    </r>
    <r>
      <rPr>
        <sz val="8"/>
        <color indexed="8"/>
        <rFont val="Arial"/>
        <family val="2"/>
      </rPr>
      <t/>
    </r>
  </si>
  <si>
    <t>United Kingdom - Lloyds</t>
  </si>
  <si>
    <t>United Kingdom - IUA</t>
  </si>
  <si>
    <t>Turkey</t>
  </si>
  <si>
    <t>Switzerland</t>
  </si>
  <si>
    <r>
      <t>Congo</t>
    </r>
    <r>
      <rPr>
        <sz val="10"/>
        <rFont val="Arial"/>
        <family val="2"/>
      </rPr>
      <t/>
    </r>
  </si>
  <si>
    <t>Egypt</t>
  </si>
  <si>
    <t>Morocco</t>
  </si>
  <si>
    <t xml:space="preserve">South Africa </t>
  </si>
  <si>
    <r>
      <t>Tunisia</t>
    </r>
    <r>
      <rPr>
        <sz val="10"/>
        <rFont val="Arial"/>
        <family val="2"/>
      </rPr>
      <t/>
    </r>
  </si>
  <si>
    <r>
      <t>Bermuda</t>
    </r>
    <r>
      <rPr>
        <sz val="10"/>
        <rFont val="Arial"/>
        <family val="2"/>
      </rPr>
      <t/>
    </r>
  </si>
  <si>
    <t>Canada</t>
  </si>
  <si>
    <t xml:space="preserve">U S A </t>
  </si>
  <si>
    <t>American Institute of Marine Underwriters - AIMU</t>
  </si>
  <si>
    <t>Ecuador</t>
  </si>
  <si>
    <t xml:space="preserve">Australia </t>
  </si>
  <si>
    <t>Chinese Taipei</t>
  </si>
  <si>
    <t>Hong Kong</t>
  </si>
  <si>
    <t>Israel</t>
  </si>
  <si>
    <t>Kazakhstan</t>
  </si>
  <si>
    <t>Korea, D.P.R. Of</t>
  </si>
  <si>
    <t xml:space="preserve">Korea, Republic of </t>
  </si>
  <si>
    <t>New Zealand</t>
  </si>
  <si>
    <t>Singapore</t>
  </si>
  <si>
    <t>Austria</t>
  </si>
  <si>
    <t>Bulgaria</t>
  </si>
  <si>
    <t>Croatia</t>
  </si>
  <si>
    <t>Cyprus</t>
  </si>
  <si>
    <t>Czech Republic</t>
  </si>
  <si>
    <t>Denmark</t>
  </si>
  <si>
    <t>Finland</t>
  </si>
  <si>
    <t>Greece</t>
  </si>
  <si>
    <t>Hungary</t>
  </si>
  <si>
    <t>Ireland</t>
  </si>
  <si>
    <t>Poland</t>
  </si>
  <si>
    <t>Portugal</t>
  </si>
  <si>
    <t>Romania</t>
  </si>
  <si>
    <t>Slovenia</t>
  </si>
  <si>
    <t xml:space="preserve">Spain </t>
  </si>
  <si>
    <t>Sweden</t>
  </si>
  <si>
    <t>IUMI</t>
  </si>
  <si>
    <t>Brazil</t>
  </si>
  <si>
    <t>Offshore energy</t>
  </si>
  <si>
    <t>Argentina</t>
  </si>
  <si>
    <t>Bolivia</t>
  </si>
  <si>
    <t>Chile</t>
  </si>
  <si>
    <t>Colombia</t>
  </si>
  <si>
    <t>Costa Rica</t>
  </si>
  <si>
    <t>Domenican Republic</t>
  </si>
  <si>
    <t>El Salvador</t>
  </si>
  <si>
    <t>Guatemala</t>
  </si>
  <si>
    <t>Honduras</t>
  </si>
  <si>
    <t>Mexico</t>
  </si>
  <si>
    <t>Nicaragua</t>
  </si>
  <si>
    <t>via ALSUM</t>
  </si>
  <si>
    <t>Panama</t>
  </si>
  <si>
    <t>Paraguay</t>
  </si>
  <si>
    <t>Peru</t>
  </si>
  <si>
    <t>Uruguay</t>
  </si>
  <si>
    <t>Venezuela</t>
  </si>
  <si>
    <t>Kenya</t>
  </si>
  <si>
    <t>The Association of Kenya Insurers</t>
  </si>
  <si>
    <t>Insurance Commission, Philippines</t>
  </si>
  <si>
    <t>Philippines</t>
  </si>
  <si>
    <t>Thailand</t>
  </si>
  <si>
    <t>other</t>
  </si>
  <si>
    <t>ALSUM</t>
  </si>
  <si>
    <t>GAIF</t>
  </si>
  <si>
    <t>reported by GAIF</t>
  </si>
  <si>
    <t>reported by ALSUM</t>
  </si>
  <si>
    <t>Assumed distribution for countries without split in lines of business: 10% hull, 90% cargo</t>
  </si>
  <si>
    <t>via GAIF (General Arab Insurance Federation)</t>
  </si>
  <si>
    <t>Membership:</t>
  </si>
  <si>
    <t>Indonesian General Insurance Association</t>
  </si>
  <si>
    <t>Difference:</t>
  </si>
  <si>
    <t>Nordic (Cefor)</t>
  </si>
  <si>
    <t>By region:</t>
  </si>
  <si>
    <t>Kontrollsum</t>
  </si>
  <si>
    <t>blue lines: country not IUMI member</t>
  </si>
  <si>
    <t>General Insurance Council</t>
  </si>
  <si>
    <t>The Russian Union of Marine Insurers (RUMI)</t>
  </si>
  <si>
    <t>Association of Vietnamese Insurers</t>
  </si>
  <si>
    <t>Hull in Nordic (Cefor)</t>
  </si>
  <si>
    <r>
      <t>Eurasia Insurance Company JSC</t>
    </r>
    <r>
      <rPr>
        <sz val="11"/>
        <color theme="1"/>
        <rFont val="Calibri"/>
        <family val="2"/>
        <scheme val="minor"/>
      </rPr>
      <t/>
    </r>
  </si>
  <si>
    <t>Thai General Insurance Association</t>
  </si>
  <si>
    <t>no</t>
  </si>
  <si>
    <t>yes</t>
  </si>
  <si>
    <t>Benin</t>
  </si>
  <si>
    <t>FANAF</t>
  </si>
  <si>
    <t>via FANAF</t>
  </si>
  <si>
    <t>Burkina Faso</t>
  </si>
  <si>
    <t>Burundi</t>
  </si>
  <si>
    <t>Cameroun</t>
  </si>
  <si>
    <t>Centrafrique</t>
  </si>
  <si>
    <t>Cõte D'Ivoire</t>
  </si>
  <si>
    <t>Gabon</t>
  </si>
  <si>
    <t>Malawi</t>
  </si>
  <si>
    <t>Niger</t>
  </si>
  <si>
    <t>Senegal</t>
  </si>
  <si>
    <t>Tchad</t>
  </si>
  <si>
    <t>Togo</t>
  </si>
  <si>
    <t>reported by FANAF</t>
  </si>
  <si>
    <t>reported by GAIF (incl. Aviation)</t>
  </si>
  <si>
    <t>Hull incl. all Nordic members;                       Cargo: Norwegian only</t>
  </si>
  <si>
    <t>incl. proportional and facultative reinsurance</t>
  </si>
  <si>
    <t>Accounting Year 2014</t>
  </si>
  <si>
    <t>Hull includes pleasure craft</t>
  </si>
  <si>
    <t>Korea National Ins. Corporation (KNIC)</t>
  </si>
  <si>
    <t>General Insurance Association of Korea (GIAK)</t>
  </si>
  <si>
    <t>reported by GAIF (incl. Inland&amp;Aviation)</t>
  </si>
  <si>
    <t>reported by ALSUM (Hull estimated)</t>
  </si>
  <si>
    <t>reported by ALSUM (Energy estimated)</t>
  </si>
  <si>
    <t>Guinee</t>
  </si>
  <si>
    <t>Ocean Marine as reported by AIMU</t>
  </si>
  <si>
    <t>no data available - estimated from previous</t>
  </si>
  <si>
    <t>cargo estimated</t>
  </si>
  <si>
    <t>Hull in Nordic (Cefor), cargo and other figures not available</t>
  </si>
  <si>
    <t>Accounting Year 2015</t>
  </si>
  <si>
    <t>reported by GAIF (incl. aviation)</t>
  </si>
  <si>
    <t>Sudan</t>
  </si>
  <si>
    <t>incl. est. distrib. others (10% hull, 90% cargo):</t>
  </si>
  <si>
    <t>Hull &amp; Liab. incl. est. distrib. others (10% hull, 90% cargo):</t>
  </si>
  <si>
    <t>estimated from previous data (incl. aviation)</t>
  </si>
  <si>
    <t>estimated from previous reported (-13%)</t>
  </si>
  <si>
    <t>estimated from previous reported (-11%)</t>
  </si>
  <si>
    <t>estimated from previous reported (cargo -13%)</t>
  </si>
  <si>
    <t>estimated from previous reported (cargo -11%)</t>
  </si>
  <si>
    <t xml:space="preserve"> estimated from previous reported (cargo: -11%)</t>
  </si>
  <si>
    <t>Hull in Nordic (Cefor); Cargo: some data missing</t>
  </si>
  <si>
    <t>Accounting Year 2016</t>
  </si>
  <si>
    <t>from SIMI</t>
  </si>
  <si>
    <t>estimate by ALSUM</t>
  </si>
  <si>
    <t>reported by ALSUM (Hull estimated, Cargo adjusted 2017)</t>
  </si>
  <si>
    <t>reported by ALSUM (Energy estimated, adjusted 2017)</t>
  </si>
  <si>
    <t>reported by ALSUM (adjusted in 2017; Energy estimated)</t>
  </si>
  <si>
    <t>estimated by ALSUM, government does not release figuers</t>
  </si>
  <si>
    <t>not reported any more</t>
  </si>
  <si>
    <t>Financial Regulators (updated 2017)</t>
  </si>
  <si>
    <t>estimated (-5%)</t>
  </si>
  <si>
    <t>Accounting Year 2017</t>
  </si>
  <si>
    <t>No</t>
  </si>
  <si>
    <r>
      <t xml:space="preserve">Hull includes all </t>
    </r>
    <r>
      <rPr>
        <u/>
        <sz val="11"/>
        <rFont val="Arial"/>
        <family val="2"/>
      </rPr>
      <t>Nordic</t>
    </r>
    <r>
      <rPr>
        <sz val="11"/>
        <rFont val="Arial"/>
        <family val="2"/>
      </rPr>
      <t xml:space="preserve"> Cefor members;                       Cargo: </t>
    </r>
    <r>
      <rPr>
        <u/>
        <sz val="11"/>
        <rFont val="Arial"/>
        <family val="2"/>
      </rPr>
      <t>Norwegian</t>
    </r>
    <r>
      <rPr>
        <sz val="11"/>
        <rFont val="Arial"/>
        <family val="2"/>
      </rPr>
      <t xml:space="preserve"> cargo market</t>
    </r>
  </si>
  <si>
    <t xml:space="preserve">reported by ALSUM </t>
  </si>
  <si>
    <t>reported by AIMU</t>
  </si>
  <si>
    <t>Indonesia, Philippines, Thailand, Vietnam)</t>
  </si>
  <si>
    <t>Asia Non-IUMI</t>
  </si>
  <si>
    <t>Asia Non-IUMI % of all</t>
  </si>
  <si>
    <t>GAIF Non-IUMI Middle East</t>
  </si>
  <si>
    <t>GAIF Non-IUMI Middle East % of all</t>
  </si>
  <si>
    <t>Africa non-IUMI</t>
  </si>
  <si>
    <t>Africak non-IUMI % of all</t>
  </si>
  <si>
    <t>Bahrain, Iraq, Jordan, Kuwait, Libya, Oman, Palestine, Qatar, Saudi Arabia, Syria, UAE, Yemen</t>
  </si>
  <si>
    <t>Europe non-IUMI</t>
  </si>
  <si>
    <t>estimated</t>
  </si>
  <si>
    <t>Gaif: Algeria, Sudan, Tunisia; Other: Kenya</t>
  </si>
  <si>
    <t>estimated (cargo-5%)</t>
  </si>
  <si>
    <t>estimated (hull-9%,cargo-5%)</t>
  </si>
  <si>
    <t>Accounting Year 2018</t>
  </si>
  <si>
    <t>wqwer4</t>
  </si>
  <si>
    <t>rtyi</t>
  </si>
  <si>
    <t>\09876543er46789+0</t>
  </si>
  <si>
    <t>,kk,l.</t>
  </si>
  <si>
    <t>liabl. ex. 14,657.051 ??? (rep. 2018)</t>
  </si>
  <si>
    <t>updated 2019, Hull/Cargo share estimated</t>
  </si>
  <si>
    <t>updated 2019</t>
  </si>
  <si>
    <t>reported by ALSUM, adjusted in 2019</t>
  </si>
  <si>
    <t>reported by ALSUM, cargo adjusted 2019</t>
  </si>
  <si>
    <t>reported by ALSUM (Energy estimated), hull/cargo adjusted 2019</t>
  </si>
  <si>
    <t>reported by ALSUM (Hull estimated), cargo adjusted 2019</t>
  </si>
  <si>
    <t>Accounting Year 2019</t>
  </si>
  <si>
    <t>Thai General Insurance Association (TGIA)</t>
  </si>
  <si>
    <t xml:space="preserve">Hull in Nordic (Cefor); </t>
  </si>
  <si>
    <t>Hull in Nordic (Cefor); Car</t>
  </si>
  <si>
    <t>SIMI</t>
  </si>
  <si>
    <t>Shanghai Institute of Marine Insurance</t>
  </si>
  <si>
    <t>estimated from 2018 figure</t>
  </si>
  <si>
    <t>reported by GAIF (2020)</t>
  </si>
  <si>
    <t>reported by GAIF (2020), includes aviation</t>
  </si>
  <si>
    <t>reported by GAIF, includes aviation</t>
  </si>
  <si>
    <t>reported by GAIF (incl. Aviation, updated 2020)</t>
  </si>
  <si>
    <t>reported by GAIF (updated 2020)</t>
  </si>
  <si>
    <t>reported by GAIF (incl. aviation, updated 2020)</t>
  </si>
  <si>
    <t>rerported by GAIF (updated 2020)</t>
  </si>
  <si>
    <t>estimated from previous years</t>
  </si>
  <si>
    <t>reinsurance and P&amp;I market; direct premium mainly pleasure boats</t>
  </si>
  <si>
    <t/>
  </si>
  <si>
    <t xml:space="preserve">estimated </t>
  </si>
  <si>
    <t>Accounting Year 2020</t>
  </si>
  <si>
    <t>hull inclueds aviation</t>
  </si>
  <si>
    <t>hull includes aviation</t>
  </si>
  <si>
    <t>hull includes aviation; figures updated 2021</t>
  </si>
  <si>
    <t>estimate</t>
  </si>
  <si>
    <t>revised 2021</t>
  </si>
  <si>
    <t>Myanmar</t>
  </si>
  <si>
    <t>Myanmar Insurance Association (MIA)</t>
  </si>
  <si>
    <t>GAIF reported 2022</t>
  </si>
  <si>
    <t>GAIF reported 2021</t>
  </si>
  <si>
    <t>GAIF reported 2022 (incl. aviation)</t>
  </si>
  <si>
    <t>cargo updated 2022</t>
  </si>
  <si>
    <t>incl. prop. and fac. Reinsurance, figures updated 2022</t>
  </si>
  <si>
    <t>updated 2021</t>
  </si>
  <si>
    <t>updated 2022</t>
  </si>
  <si>
    <t>Accounting Year 2021</t>
  </si>
  <si>
    <t>reported by ALSUM (hull corrected in 2021)</t>
  </si>
  <si>
    <t>Accounting Year 2022</t>
  </si>
  <si>
    <t>ABAM BVT Belgian Association of Marine Insurers</t>
  </si>
  <si>
    <t>estimated from 2021 figure</t>
  </si>
  <si>
    <t>reported GAIF</t>
  </si>
  <si>
    <t>reported GAIF (includes aviation)</t>
  </si>
  <si>
    <t>reported by ALSUM (Hull 2-year renewal)</t>
  </si>
  <si>
    <t>estimated, government does not release figuers</t>
  </si>
  <si>
    <t>includes aviation</t>
  </si>
  <si>
    <t>Hull includes aviation</t>
  </si>
  <si>
    <t>figures recalculated in 2024 with new conversion</t>
  </si>
  <si>
    <t>adjusted in 2014</t>
  </si>
  <si>
    <t>adjusted in 2024</t>
  </si>
  <si>
    <t>adjusted 2024</t>
  </si>
  <si>
    <t>Source: MAS (audited)</t>
  </si>
  <si>
    <t>did not answer in 2024</t>
  </si>
  <si>
    <t>reported by AIMU (adjusted 2024)</t>
  </si>
  <si>
    <t>Accounting Year 2023</t>
  </si>
  <si>
    <r>
      <t>Eurasia Insurance Company JSC</t>
    </r>
    <r>
      <rPr>
        <sz val="10"/>
        <rFont val="Arial"/>
      </rPr>
      <t/>
    </r>
  </si>
  <si>
    <t>Verbond van Verzekeraars</t>
  </si>
  <si>
    <t>P&amp;I</t>
  </si>
  <si>
    <t>Accounting Year 2024</t>
  </si>
  <si>
    <t>(2025: left figures for 2023 as is but reproted Cargo=0)</t>
  </si>
  <si>
    <t>Hull includes all Nordic Cefor members;                       Cargo: Norwegian cargo market</t>
  </si>
  <si>
    <t>estimated (25% of 2016)</t>
  </si>
  <si>
    <t>Drop hull: 37% due to one company reports via France now</t>
  </si>
  <si>
    <r>
      <t xml:space="preserve">Hull includes all </t>
    </r>
    <r>
      <rPr>
        <u/>
        <sz val="11"/>
        <rFont val="Arial"/>
        <family val="2"/>
      </rPr>
      <t>Nordic</t>
    </r>
    <r>
      <rPr>
        <sz val="11"/>
        <rFont val="Arial"/>
        <family val="2"/>
      </rPr>
      <t xml:space="preserve"> Cefor members;   Cargo: </t>
    </r>
    <r>
      <rPr>
        <u/>
        <sz val="11"/>
        <rFont val="Arial"/>
        <family val="2"/>
      </rPr>
      <t>Norwegian</t>
    </r>
    <r>
      <rPr>
        <sz val="11"/>
        <rFont val="Arial"/>
        <family val="2"/>
      </rPr>
      <t xml:space="preserve"> cargo market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</si>
</sst>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1"/>
      <color theme="0" tint="-0.34998626667073579"/>
      <name val="Arial"/>
      <family val="2"/>
    </font>
    <font>
      <b/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i/>
      <sz val="11"/>
      <color rgb="FF0000FF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2"/>
      <color rgb="FF0000FF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b/>
      <i/>
      <sz val="14"/>
      <color indexed="8"/>
      <name val="Arial"/>
      <family val="2"/>
    </font>
    <font>
      <b/>
      <sz val="14"/>
      <color theme="0" tint="-0.34998626667073579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1"/>
      <color theme="0" tint="-0.249977111117893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4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u/>
      <sz val="11"/>
      <name val="Arial"/>
      <family val="2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b/>
      <i/>
      <sz val="11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 tint="-0.3499862666707357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0282D"/>
        <bgColor indexed="64"/>
      </patternFill>
    </fill>
    <fill>
      <patternFill patternType="solid">
        <fgColor rgb="FF00A651"/>
        <bgColor indexed="64"/>
      </patternFill>
    </fill>
    <fill>
      <patternFill patternType="solid">
        <fgColor rgb="FFFFB114"/>
        <bgColor indexed="64"/>
      </patternFill>
    </fill>
    <fill>
      <patternFill patternType="solid">
        <fgColor rgb="FF0078D0"/>
        <bgColor indexed="64"/>
      </patternFill>
    </fill>
    <fill>
      <patternFill patternType="solid">
        <fgColor rgb="FFFFE0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" fillId="0" borderId="0"/>
    <xf numFmtId="0" fontId="55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7">
    <xf numFmtId="0" fontId="0" fillId="0" borderId="0" xfId="0"/>
    <xf numFmtId="3" fontId="0" fillId="0" borderId="0" xfId="0" applyNumberFormat="1"/>
    <xf numFmtId="2" fontId="3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8" fillId="0" borderId="0" xfId="0" applyFont="1"/>
    <xf numFmtId="3" fontId="8" fillId="0" borderId="0" xfId="0" applyNumberFormat="1" applyFont="1" applyAlignment="1">
      <alignment horizontal="center"/>
    </xf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1" fillId="0" borderId="1" xfId="0" applyNumberFormat="1" applyFont="1" applyBorder="1"/>
    <xf numFmtId="3" fontId="11" fillId="0" borderId="0" xfId="0" applyNumberFormat="1" applyFont="1" applyAlignment="1">
      <alignment horizontal="center"/>
    </xf>
    <xf numFmtId="3" fontId="3" fillId="0" borderId="0" xfId="0" applyNumberFormat="1" applyFont="1"/>
    <xf numFmtId="3" fontId="11" fillId="0" borderId="0" xfId="0" applyNumberFormat="1" applyFont="1"/>
    <xf numFmtId="3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11" fillId="0" borderId="1" xfId="0" applyNumberFormat="1" applyFont="1" applyBorder="1"/>
    <xf numFmtId="3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center"/>
    </xf>
    <xf numFmtId="2" fontId="3" fillId="0" borderId="0" xfId="0" applyNumberFormat="1" applyFont="1" applyAlignment="1">
      <alignment horizontal="right"/>
    </xf>
    <xf numFmtId="164" fontId="8" fillId="0" borderId="0" xfId="0" applyNumberFormat="1" applyFont="1"/>
    <xf numFmtId="164" fontId="7" fillId="0" borderId="0" xfId="0" applyNumberFormat="1" applyFont="1"/>
    <xf numFmtId="2" fontId="11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3" fontId="16" fillId="0" borderId="0" xfId="0" applyNumberFormat="1" applyFont="1"/>
    <xf numFmtId="0" fontId="5" fillId="0" borderId="0" xfId="0" applyFont="1" applyAlignment="1">
      <alignment horizontal="right"/>
    </xf>
    <xf numFmtId="2" fontId="17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2" fontId="3" fillId="2" borderId="0" xfId="0" applyNumberFormat="1" applyFont="1" applyFill="1"/>
    <xf numFmtId="3" fontId="0" fillId="0" borderId="0" xfId="2" applyNumberFormat="1" applyFont="1"/>
    <xf numFmtId="3" fontId="21" fillId="0" borderId="0" xfId="0" applyNumberFormat="1" applyFont="1"/>
    <xf numFmtId="3" fontId="22" fillId="0" borderId="0" xfId="0" applyNumberFormat="1" applyFont="1"/>
    <xf numFmtId="0" fontId="24" fillId="0" borderId="0" xfId="0" applyFont="1"/>
    <xf numFmtId="165" fontId="23" fillId="0" borderId="0" xfId="2" applyNumberFormat="1" applyFont="1"/>
    <xf numFmtId="165" fontId="6" fillId="0" borderId="0" xfId="2" applyNumberFormat="1" applyFont="1"/>
    <xf numFmtId="3" fontId="25" fillId="0" borderId="0" xfId="0" applyNumberFormat="1" applyFont="1"/>
    <xf numFmtId="2" fontId="11" fillId="0" borderId="0" xfId="0" applyNumberFormat="1" applyFont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9" fillId="0" borderId="0" xfId="0" applyFont="1"/>
    <xf numFmtId="0" fontId="21" fillId="0" borderId="0" xfId="0" applyFont="1"/>
    <xf numFmtId="0" fontId="30" fillId="8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2" fontId="27" fillId="0" borderId="0" xfId="0" applyNumberFormat="1" applyFont="1" applyAlignment="1">
      <alignment horizontal="left"/>
    </xf>
    <xf numFmtId="2" fontId="27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/>
    <xf numFmtId="43" fontId="5" fillId="6" borderId="0" xfId="2" applyFont="1" applyFill="1" applyAlignment="1">
      <alignment horizontal="center"/>
    </xf>
    <xf numFmtId="43" fontId="8" fillId="0" borderId="0" xfId="2" applyFont="1" applyAlignment="1">
      <alignment horizontal="right"/>
    </xf>
    <xf numFmtId="43" fontId="0" fillId="0" borderId="0" xfId="2" applyFont="1"/>
    <xf numFmtId="3" fontId="11" fillId="3" borderId="1" xfId="0" applyNumberFormat="1" applyFont="1" applyFill="1" applyBorder="1"/>
    <xf numFmtId="3" fontId="2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4" fillId="6" borderId="0" xfId="0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3" fontId="32" fillId="0" borderId="0" xfId="0" applyNumberFormat="1" applyFont="1"/>
    <xf numFmtId="0" fontId="5" fillId="0" borderId="0" xfId="0" applyFont="1" applyAlignment="1">
      <alignment horizontal="left"/>
    </xf>
    <xf numFmtId="0" fontId="5" fillId="9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33" fillId="0" borderId="0" xfId="0" applyFont="1"/>
    <xf numFmtId="165" fontId="5" fillId="0" borderId="0" xfId="0" applyNumberFormat="1" applyFont="1"/>
    <xf numFmtId="43" fontId="7" fillId="0" borderId="0" xfId="2" applyFont="1"/>
    <xf numFmtId="3" fontId="27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3" fontId="21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left"/>
    </xf>
    <xf numFmtId="0" fontId="26" fillId="2" borderId="2" xfId="0" applyFont="1" applyFill="1" applyBorder="1"/>
    <xf numFmtId="3" fontId="26" fillId="2" borderId="2" xfId="0" applyNumberFormat="1" applyFont="1" applyFill="1" applyBorder="1"/>
    <xf numFmtId="164" fontId="0" fillId="0" borderId="0" xfId="1" applyNumberFormat="1" applyFont="1"/>
    <xf numFmtId="165" fontId="8" fillId="0" borderId="0" xfId="2" applyNumberFormat="1" applyFont="1" applyAlignment="1">
      <alignment horizontal="right"/>
    </xf>
    <xf numFmtId="0" fontId="21" fillId="2" borderId="0" xfId="0" applyFont="1" applyFill="1"/>
    <xf numFmtId="164" fontId="6" fillId="0" borderId="0" xfId="1" applyNumberFormat="1" applyFont="1"/>
    <xf numFmtId="2" fontId="8" fillId="2" borderId="0" xfId="0" applyNumberFormat="1" applyFont="1" applyFill="1"/>
    <xf numFmtId="0" fontId="31" fillId="9" borderId="0" xfId="0" applyFont="1" applyFill="1" applyAlignment="1">
      <alignment horizontal="center"/>
    </xf>
    <xf numFmtId="0" fontId="20" fillId="0" borderId="0" xfId="0" applyFont="1"/>
    <xf numFmtId="3" fontId="25" fillId="0" borderId="0" xfId="0" applyNumberFormat="1" applyFont="1" applyAlignment="1">
      <alignment horizontal="right"/>
    </xf>
    <xf numFmtId="2" fontId="28" fillId="0" borderId="0" xfId="0" applyNumberFormat="1" applyFont="1" applyAlignment="1">
      <alignment horizontal="center"/>
    </xf>
    <xf numFmtId="165" fontId="21" fillId="0" borderId="0" xfId="2" applyNumberFormat="1" applyFont="1" applyAlignment="1">
      <alignment horizontal="right"/>
    </xf>
    <xf numFmtId="165" fontId="22" fillId="0" borderId="0" xfId="2" applyNumberFormat="1" applyFont="1"/>
    <xf numFmtId="165" fontId="8" fillId="0" borderId="0" xfId="2" applyNumberFormat="1" applyFont="1"/>
    <xf numFmtId="165" fontId="21" fillId="0" borderId="0" xfId="2" applyNumberFormat="1" applyFont="1"/>
    <xf numFmtId="3" fontId="35" fillId="0" borderId="0" xfId="0" applyNumberFormat="1" applyFont="1" applyAlignment="1">
      <alignment horizontal="center"/>
    </xf>
    <xf numFmtId="3" fontId="8" fillId="0" borderId="0" xfId="0" applyNumberFormat="1" applyFont="1" applyAlignment="1">
      <alignment wrapText="1"/>
    </xf>
    <xf numFmtId="0" fontId="15" fillId="0" borderId="0" xfId="0" applyFont="1"/>
    <xf numFmtId="165" fontId="15" fillId="0" borderId="0" xfId="2" applyNumberFormat="1" applyFont="1"/>
    <xf numFmtId="3" fontId="36" fillId="0" borderId="0" xfId="0" applyNumberFormat="1" applyFont="1" applyAlignment="1">
      <alignment horizontal="center"/>
    </xf>
    <xf numFmtId="0" fontId="13" fillId="0" borderId="0" xfId="0" applyFont="1"/>
    <xf numFmtId="3" fontId="15" fillId="0" borderId="0" xfId="0" applyNumberFormat="1" applyFont="1" applyAlignment="1">
      <alignment wrapText="1"/>
    </xf>
    <xf numFmtId="3" fontId="16" fillId="0" borderId="0" xfId="0" applyNumberFormat="1" applyFont="1" applyAlignment="1">
      <alignment horizontal="left"/>
    </xf>
    <xf numFmtId="3" fontId="32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3" fontId="37" fillId="0" borderId="0" xfId="0" applyNumberFormat="1" applyFont="1"/>
    <xf numFmtId="165" fontId="7" fillId="0" borderId="0" xfId="2" applyNumberFormat="1" applyFont="1"/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3" fontId="39" fillId="0" borderId="0" xfId="0" applyNumberFormat="1" applyFont="1"/>
    <xf numFmtId="3" fontId="20" fillId="0" borderId="0" xfId="0" applyNumberFormat="1" applyFont="1"/>
    <xf numFmtId="3" fontId="34" fillId="0" borderId="0" xfId="0" applyNumberFormat="1" applyFont="1"/>
    <xf numFmtId="3" fontId="40" fillId="0" borderId="0" xfId="0" applyNumberFormat="1" applyFont="1"/>
    <xf numFmtId="3" fontId="41" fillId="0" borderId="0" xfId="0" applyNumberFormat="1" applyFont="1"/>
    <xf numFmtId="43" fontId="22" fillId="0" borderId="0" xfId="2" applyFont="1"/>
    <xf numFmtId="3" fontId="42" fillId="0" borderId="0" xfId="0" applyNumberFormat="1" applyFont="1"/>
    <xf numFmtId="3" fontId="43" fillId="0" borderId="0" xfId="0" applyNumberFormat="1" applyFont="1"/>
    <xf numFmtId="3" fontId="40" fillId="0" borderId="0" xfId="0" applyNumberFormat="1" applyFont="1" applyAlignment="1">
      <alignment horizontal="center"/>
    </xf>
    <xf numFmtId="3" fontId="44" fillId="0" borderId="0" xfId="0" applyNumberFormat="1" applyFont="1" applyAlignment="1">
      <alignment horizontal="center"/>
    </xf>
    <xf numFmtId="165" fontId="45" fillId="0" borderId="0" xfId="2" applyNumberFormat="1" applyFont="1"/>
    <xf numFmtId="43" fontId="21" fillId="0" borderId="0" xfId="2" applyFont="1" applyAlignment="1">
      <alignment horizontal="right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164" fontId="8" fillId="0" borderId="0" xfId="1" applyNumberFormat="1" applyFont="1"/>
    <xf numFmtId="3" fontId="38" fillId="0" borderId="0" xfId="0" applyNumberFormat="1" applyFont="1" applyAlignment="1">
      <alignment horizontal="center"/>
    </xf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6" fillId="5" borderId="0" xfId="0" applyFont="1" applyFill="1" applyAlignment="1">
      <alignment horizontal="center"/>
    </xf>
    <xf numFmtId="3" fontId="46" fillId="0" borderId="0" xfId="0" applyNumberFormat="1" applyFont="1" applyAlignment="1">
      <alignment horizontal="right"/>
    </xf>
    <xf numFmtId="3" fontId="47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3" fontId="21" fillId="0" borderId="0" xfId="2" applyNumberFormat="1" applyFont="1" applyAlignment="1">
      <alignment horizontal="right"/>
    </xf>
    <xf numFmtId="3" fontId="21" fillId="0" borderId="0" xfId="2" applyNumberFormat="1" applyFont="1"/>
    <xf numFmtId="3" fontId="8" fillId="0" borderId="0" xfId="2" applyNumberFormat="1" applyFont="1" applyAlignment="1">
      <alignment horizontal="right"/>
    </xf>
    <xf numFmtId="3" fontId="7" fillId="0" borderId="0" xfId="2" applyNumberFormat="1" applyFont="1"/>
    <xf numFmtId="0" fontId="8" fillId="3" borderId="0" xfId="0" applyFont="1" applyFill="1"/>
    <xf numFmtId="3" fontId="49" fillId="0" borderId="0" xfId="0" applyNumberFormat="1" applyFont="1"/>
    <xf numFmtId="3" fontId="50" fillId="0" borderId="0" xfId="0" applyNumberFormat="1" applyFont="1"/>
    <xf numFmtId="3" fontId="42" fillId="0" borderId="0" xfId="0" applyNumberFormat="1" applyFont="1" applyAlignment="1">
      <alignment horizontal="center"/>
    </xf>
    <xf numFmtId="3" fontId="51" fillId="0" borderId="0" xfId="0" applyNumberFormat="1" applyFont="1"/>
    <xf numFmtId="165" fontId="22" fillId="0" borderId="0" xfId="2" applyNumberFormat="1" applyFont="1" applyFill="1"/>
    <xf numFmtId="3" fontId="21" fillId="0" borderId="0" xfId="2" applyNumberFormat="1" applyFont="1" applyFill="1" applyAlignment="1">
      <alignment horizontal="right"/>
    </xf>
    <xf numFmtId="3" fontId="42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center"/>
    </xf>
    <xf numFmtId="3" fontId="53" fillId="0" borderId="0" xfId="0" applyNumberFormat="1" applyFont="1"/>
    <xf numFmtId="3" fontId="52" fillId="0" borderId="0" xfId="0" applyNumberFormat="1" applyFont="1"/>
    <xf numFmtId="3" fontId="25" fillId="0" borderId="0" xfId="2" applyNumberFormat="1" applyFont="1" applyFill="1" applyAlignment="1">
      <alignment horizontal="right"/>
    </xf>
    <xf numFmtId="2" fontId="21" fillId="0" borderId="0" xfId="0" quotePrefix="1" applyNumberFormat="1" applyFont="1"/>
    <xf numFmtId="2" fontId="42" fillId="0" borderId="0" xfId="0" applyNumberFormat="1" applyFont="1"/>
    <xf numFmtId="165" fontId="54" fillId="0" borderId="0" xfId="2" applyNumberFormat="1" applyFont="1"/>
    <xf numFmtId="3" fontId="43" fillId="0" borderId="0" xfId="0" applyNumberFormat="1" applyFont="1" applyAlignment="1">
      <alignment horizontal="right"/>
    </xf>
    <xf numFmtId="3" fontId="40" fillId="0" borderId="0" xfId="0" applyNumberFormat="1" applyFont="1" applyAlignment="1">
      <alignment horizontal="right"/>
    </xf>
    <xf numFmtId="3" fontId="40" fillId="0" borderId="0" xfId="2" applyNumberFormat="1" applyFont="1" applyFill="1" applyAlignment="1">
      <alignment horizontal="right"/>
    </xf>
    <xf numFmtId="2" fontId="41" fillId="0" borderId="0" xfId="0" applyNumberFormat="1" applyFont="1"/>
    <xf numFmtId="2" fontId="44" fillId="0" borderId="0" xfId="0" applyNumberFormat="1" applyFont="1"/>
    <xf numFmtId="2" fontId="44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29" fillId="2" borderId="0" xfId="0" applyFont="1" applyFill="1"/>
    <xf numFmtId="3" fontId="15" fillId="0" borderId="0" xfId="2" applyNumberFormat="1" applyFont="1" applyFill="1" applyAlignment="1">
      <alignment horizontal="right"/>
    </xf>
    <xf numFmtId="2" fontId="16" fillId="0" borderId="0" xfId="0" applyNumberFormat="1" applyFont="1"/>
    <xf numFmtId="2" fontId="36" fillId="0" borderId="0" xfId="0" applyNumberFormat="1" applyFont="1"/>
    <xf numFmtId="2" fontId="36" fillId="0" borderId="0" xfId="0" applyNumberFormat="1" applyFont="1" applyAlignment="1">
      <alignment horizontal="left"/>
    </xf>
    <xf numFmtId="3" fontId="46" fillId="0" borderId="0" xfId="0" applyNumberFormat="1" applyFont="1"/>
    <xf numFmtId="2" fontId="27" fillId="0" borderId="0" xfId="3" applyNumberFormat="1" applyFont="1" applyAlignment="1">
      <alignment horizontal="left"/>
    </xf>
    <xf numFmtId="0" fontId="5" fillId="0" borderId="0" xfId="3" applyAlignment="1">
      <alignment horizontal="center"/>
    </xf>
    <xf numFmtId="0" fontId="8" fillId="0" borderId="0" xfId="3" applyFont="1"/>
    <xf numFmtId="3" fontId="16" fillId="0" borderId="0" xfId="3" applyNumberFormat="1" applyFont="1"/>
    <xf numFmtId="3" fontId="7" fillId="0" borderId="0" xfId="3" applyNumberFormat="1" applyFont="1"/>
    <xf numFmtId="3" fontId="8" fillId="0" borderId="0" xfId="3" applyNumberFormat="1" applyFont="1"/>
    <xf numFmtId="3" fontId="37" fillId="0" borderId="0" xfId="3" applyNumberFormat="1" applyFont="1"/>
    <xf numFmtId="0" fontId="21" fillId="0" borderId="0" xfId="3" applyFont="1"/>
    <xf numFmtId="3" fontId="21" fillId="0" borderId="0" xfId="3" applyNumberFormat="1" applyFont="1"/>
    <xf numFmtId="2" fontId="3" fillId="0" borderId="0" xfId="3" applyNumberFormat="1" applyFont="1" applyAlignment="1">
      <alignment horizontal="right"/>
    </xf>
    <xf numFmtId="2" fontId="56" fillId="0" borderId="0" xfId="3" applyNumberFormat="1" applyFont="1" applyAlignment="1">
      <alignment horizontal="right"/>
    </xf>
    <xf numFmtId="0" fontId="5" fillId="0" borderId="0" xfId="3" applyAlignment="1">
      <alignment horizontal="right"/>
    </xf>
    <xf numFmtId="164" fontId="8" fillId="0" borderId="0" xfId="3" applyNumberFormat="1" applyFont="1"/>
    <xf numFmtId="0" fontId="57" fillId="0" borderId="0" xfId="0" applyFont="1"/>
    <xf numFmtId="2" fontId="58" fillId="0" borderId="0" xfId="3" applyNumberFormat="1" applyFont="1" applyAlignment="1">
      <alignment horizontal="left"/>
    </xf>
    <xf numFmtId="3" fontId="58" fillId="0" borderId="0" xfId="3" applyNumberFormat="1" applyFont="1" applyAlignment="1">
      <alignment horizontal="left"/>
    </xf>
    <xf numFmtId="0" fontId="57" fillId="0" borderId="0" xfId="3" applyFont="1"/>
    <xf numFmtId="3" fontId="57" fillId="0" borderId="0" xfId="3" applyNumberFormat="1" applyFont="1" applyAlignment="1">
      <alignment horizontal="center"/>
    </xf>
    <xf numFmtId="3" fontId="57" fillId="0" borderId="0" xfId="3" applyNumberFormat="1" applyFont="1" applyAlignment="1">
      <alignment horizontal="right"/>
    </xf>
    <xf numFmtId="3" fontId="60" fillId="0" borderId="0" xfId="3" applyNumberFormat="1" applyFont="1"/>
    <xf numFmtId="3" fontId="61" fillId="0" borderId="0" xfId="3" applyNumberFormat="1" applyFont="1"/>
    <xf numFmtId="2" fontId="57" fillId="0" borderId="0" xfId="3" applyNumberFormat="1" applyFont="1"/>
    <xf numFmtId="2" fontId="57" fillId="10" borderId="0" xfId="3" applyNumberFormat="1" applyFont="1" applyFill="1"/>
    <xf numFmtId="3" fontId="57" fillId="0" borderId="0" xfId="3" applyNumberFormat="1" applyFont="1"/>
    <xf numFmtId="0" fontId="57" fillId="10" borderId="0" xfId="3" applyFont="1" applyFill="1"/>
    <xf numFmtId="3" fontId="57" fillId="0" borderId="0" xfId="5" applyNumberFormat="1" applyFont="1" applyFill="1" applyAlignment="1">
      <alignment horizontal="right"/>
    </xf>
    <xf numFmtId="165" fontId="61" fillId="0" borderId="0" xfId="5" applyNumberFormat="1" applyFont="1" applyFill="1"/>
    <xf numFmtId="3" fontId="57" fillId="10" borderId="0" xfId="3" applyNumberFormat="1" applyFont="1" applyFill="1"/>
    <xf numFmtId="3" fontId="57" fillId="10" borderId="0" xfId="3" applyNumberFormat="1" applyFont="1" applyFill="1" applyAlignment="1">
      <alignment horizontal="right"/>
    </xf>
    <xf numFmtId="0" fontId="63" fillId="10" borderId="0" xfId="3" applyFont="1" applyFill="1"/>
    <xf numFmtId="0" fontId="64" fillId="0" borderId="0" xfId="3" applyFont="1"/>
    <xf numFmtId="3" fontId="64" fillId="0" borderId="0" xfId="3" applyNumberFormat="1" applyFont="1"/>
    <xf numFmtId="165" fontId="65" fillId="0" borderId="0" xfId="5" applyNumberFormat="1" applyFont="1"/>
    <xf numFmtId="2" fontId="58" fillId="0" borderId="1" xfId="3" applyNumberFormat="1" applyFont="1" applyBorder="1"/>
    <xf numFmtId="3" fontId="58" fillId="0" borderId="1" xfId="3" applyNumberFormat="1" applyFont="1" applyBorder="1"/>
    <xf numFmtId="3" fontId="58" fillId="10" borderId="1" xfId="3" applyNumberFormat="1" applyFont="1" applyFill="1" applyBorder="1"/>
    <xf numFmtId="2" fontId="59" fillId="0" borderId="0" xfId="3" applyNumberFormat="1" applyFont="1" applyAlignment="1">
      <alignment horizontal="right"/>
    </xf>
    <xf numFmtId="0" fontId="57" fillId="0" borderId="0" xfId="3" applyFont="1" applyAlignment="1">
      <alignment horizontal="right"/>
    </xf>
    <xf numFmtId="2" fontId="59" fillId="0" borderId="0" xfId="3" applyNumberFormat="1" applyFont="1"/>
    <xf numFmtId="164" fontId="57" fillId="0" borderId="0" xfId="3" applyNumberFormat="1" applyFont="1"/>
    <xf numFmtId="0" fontId="61" fillId="2" borderId="2" xfId="3" applyFont="1" applyFill="1" applyBorder="1"/>
    <xf numFmtId="3" fontId="61" fillId="2" borderId="2" xfId="3" applyNumberFormat="1" applyFont="1" applyFill="1" applyBorder="1"/>
    <xf numFmtId="0" fontId="57" fillId="10" borderId="0" xfId="3" applyFont="1" applyFill="1" applyBorder="1"/>
    <xf numFmtId="0" fontId="57" fillId="10" borderId="0" xfId="0" applyFont="1" applyFill="1"/>
    <xf numFmtId="2" fontId="58" fillId="10" borderId="0" xfId="3" applyNumberFormat="1" applyFont="1" applyFill="1" applyAlignment="1">
      <alignment horizontal="left"/>
    </xf>
    <xf numFmtId="0" fontId="64" fillId="10" borderId="0" xfId="3" applyFont="1" applyFill="1"/>
    <xf numFmtId="2" fontId="58" fillId="10" borderId="1" xfId="3" applyNumberFormat="1" applyFont="1" applyFill="1" applyBorder="1"/>
    <xf numFmtId="2" fontId="59" fillId="10" borderId="0" xfId="3" applyNumberFormat="1" applyFont="1" applyFill="1" applyAlignment="1">
      <alignment horizontal="right"/>
    </xf>
    <xf numFmtId="2" fontId="59" fillId="10" borderId="0" xfId="3" applyNumberFormat="1" applyFont="1" applyFill="1"/>
    <xf numFmtId="0" fontId="61" fillId="10" borderId="2" xfId="3" applyFont="1" applyFill="1" applyBorder="1"/>
    <xf numFmtId="0" fontId="57" fillId="0" borderId="0" xfId="0" applyFont="1" applyAlignment="1">
      <alignment horizontal="right"/>
    </xf>
    <xf numFmtId="2" fontId="58" fillId="0" borderId="0" xfId="3" applyNumberFormat="1" applyFont="1" applyAlignment="1">
      <alignment horizontal="right"/>
    </xf>
    <xf numFmtId="2" fontId="57" fillId="0" borderId="0" xfId="3" applyNumberFormat="1" applyFont="1" applyAlignment="1">
      <alignment horizontal="right"/>
    </xf>
    <xf numFmtId="2" fontId="62" fillId="0" borderId="0" xfId="4" applyNumberFormat="1" applyFont="1" applyAlignment="1">
      <alignment horizontal="right"/>
    </xf>
    <xf numFmtId="0" fontId="64" fillId="0" borderId="0" xfId="3" applyFont="1" applyAlignment="1">
      <alignment horizontal="right"/>
    </xf>
    <xf numFmtId="2" fontId="58" fillId="0" borderId="1" xfId="3" applyNumberFormat="1" applyFont="1" applyBorder="1" applyAlignment="1">
      <alignment horizontal="right"/>
    </xf>
    <xf numFmtId="0" fontId="61" fillId="2" borderId="2" xfId="3" applyFont="1" applyFill="1" applyBorder="1" applyAlignment="1">
      <alignment horizontal="right"/>
    </xf>
    <xf numFmtId="2" fontId="58" fillId="11" borderId="0" xfId="3" applyNumberFormat="1" applyFont="1" applyFill="1" applyAlignment="1">
      <alignment horizontal="left"/>
    </xf>
    <xf numFmtId="2" fontId="58" fillId="11" borderId="0" xfId="3" applyNumberFormat="1" applyFont="1" applyFill="1" applyAlignment="1">
      <alignment horizontal="right"/>
    </xf>
    <xf numFmtId="3" fontId="58" fillId="11" borderId="0" xfId="3" applyNumberFormat="1" applyFont="1" applyFill="1" applyAlignment="1">
      <alignment horizontal="center"/>
    </xf>
    <xf numFmtId="2" fontId="66" fillId="11" borderId="0" xfId="3" applyNumberFormat="1" applyFont="1" applyFill="1" applyAlignment="1">
      <alignment horizontal="left"/>
    </xf>
    <xf numFmtId="2" fontId="66" fillId="12" borderId="0" xfId="3" applyNumberFormat="1" applyFont="1" applyFill="1"/>
    <xf numFmtId="2" fontId="66" fillId="12" borderId="0" xfId="3" applyNumberFormat="1" applyFont="1" applyFill="1" applyAlignment="1">
      <alignment horizontal="right"/>
    </xf>
    <xf numFmtId="2" fontId="61" fillId="13" borderId="0" xfId="3" applyNumberFormat="1" applyFont="1" applyFill="1"/>
    <xf numFmtId="2" fontId="61" fillId="13" borderId="0" xfId="3" applyNumberFormat="1" applyFont="1" applyFill="1" applyAlignment="1">
      <alignment horizontal="right"/>
    </xf>
    <xf numFmtId="2" fontId="66" fillId="13" borderId="0" xfId="3" applyNumberFormat="1" applyFont="1" applyFill="1"/>
    <xf numFmtId="2" fontId="61" fillId="14" borderId="0" xfId="3" applyNumberFormat="1" applyFont="1" applyFill="1"/>
    <xf numFmtId="2" fontId="61" fillId="14" borderId="0" xfId="3" applyNumberFormat="1" applyFont="1" applyFill="1" applyAlignment="1">
      <alignment horizontal="right"/>
    </xf>
    <xf numFmtId="2" fontId="66" fillId="15" borderId="0" xfId="3" applyNumberFormat="1" applyFont="1" applyFill="1" applyAlignment="1">
      <alignment horizontal="left"/>
    </xf>
    <xf numFmtId="2" fontId="66" fillId="15" borderId="0" xfId="3" applyNumberFormat="1" applyFont="1" applyFill="1" applyAlignment="1">
      <alignment horizontal="right"/>
    </xf>
    <xf numFmtId="2" fontId="61" fillId="16" borderId="0" xfId="3" applyNumberFormat="1" applyFont="1" applyFill="1" applyAlignment="1">
      <alignment horizontal="left"/>
    </xf>
    <xf numFmtId="2" fontId="61" fillId="16" borderId="0" xfId="3" applyNumberFormat="1" applyFont="1" applyFill="1" applyAlignment="1">
      <alignment horizontal="right"/>
    </xf>
    <xf numFmtId="3" fontId="57" fillId="16" borderId="0" xfId="3" applyNumberFormat="1" applyFont="1" applyFill="1"/>
    <xf numFmtId="0" fontId="5" fillId="0" borderId="0" xfId="3" applyAlignment="1">
      <alignment horizontal="left"/>
    </xf>
    <xf numFmtId="10" fontId="8" fillId="0" borderId="0" xfId="1" applyNumberFormat="1" applyFont="1"/>
    <xf numFmtId="0" fontId="5" fillId="0" borderId="0" xfId="3"/>
    <xf numFmtId="0" fontId="6" fillId="0" borderId="0" xfId="3" applyFont="1"/>
    <xf numFmtId="164" fontId="7" fillId="0" borderId="0" xfId="3" applyNumberFormat="1" applyFont="1"/>
    <xf numFmtId="9" fontId="8" fillId="0" borderId="0" xfId="1" applyFont="1"/>
    <xf numFmtId="3" fontId="3" fillId="0" borderId="0" xfId="3" applyNumberFormat="1" applyFont="1"/>
    <xf numFmtId="3" fontId="3" fillId="0" borderId="0" xfId="3" applyNumberFormat="1" applyFont="1" applyAlignment="1">
      <alignment horizontal="right"/>
    </xf>
    <xf numFmtId="3" fontId="11" fillId="0" borderId="0" xfId="3" applyNumberFormat="1" applyFont="1"/>
    <xf numFmtId="0" fontId="7" fillId="0" borderId="0" xfId="3" applyFont="1"/>
    <xf numFmtId="3" fontId="5" fillId="0" borderId="0" xfId="3" applyNumberFormat="1"/>
    <xf numFmtId="165" fontId="6" fillId="0" borderId="0" xfId="5" applyNumberFormat="1" applyFont="1"/>
    <xf numFmtId="43" fontId="5" fillId="0" borderId="0" xfId="2" applyFont="1"/>
    <xf numFmtId="0" fontId="33" fillId="0" borderId="0" xfId="3" applyFont="1"/>
    <xf numFmtId="9" fontId="5" fillId="0" borderId="0" xfId="1" applyFont="1"/>
    <xf numFmtId="165" fontId="5" fillId="0" borderId="0" xfId="3" applyNumberFormat="1"/>
    <xf numFmtId="3" fontId="6" fillId="0" borderId="0" xfId="3" applyNumberFormat="1" applyFont="1"/>
    <xf numFmtId="165" fontId="5" fillId="0" borderId="0" xfId="2" applyNumberFormat="1" applyFont="1"/>
    <xf numFmtId="3" fontId="42" fillId="0" borderId="0" xfId="3" applyNumberFormat="1" applyFont="1"/>
    <xf numFmtId="43" fontId="7" fillId="0" borderId="0" xfId="5" applyFont="1"/>
    <xf numFmtId="3" fontId="36" fillId="0" borderId="0" xfId="3" applyNumberFormat="1" applyFont="1" applyAlignment="1">
      <alignment horizontal="center"/>
    </xf>
    <xf numFmtId="3" fontId="14" fillId="0" borderId="0" xfId="3" applyNumberFormat="1" applyFont="1"/>
    <xf numFmtId="2" fontId="27" fillId="0" borderId="0" xfId="3" applyNumberFormat="1" applyFont="1"/>
    <xf numFmtId="3" fontId="15" fillId="0" borderId="0" xfId="3" applyNumberFormat="1" applyFont="1"/>
    <xf numFmtId="0" fontId="13" fillId="0" borderId="0" xfId="3" applyFont="1"/>
    <xf numFmtId="0" fontId="15" fillId="0" borderId="0" xfId="3" applyFont="1"/>
    <xf numFmtId="3" fontId="15" fillId="0" borderId="0" xfId="3" applyNumberFormat="1" applyFont="1" applyAlignment="1">
      <alignment wrapText="1"/>
    </xf>
    <xf numFmtId="3" fontId="20" fillId="0" borderId="0" xfId="3" applyNumberFormat="1" applyFont="1"/>
    <xf numFmtId="3" fontId="32" fillId="0" borderId="0" xfId="3" applyNumberFormat="1" applyFont="1" applyAlignment="1">
      <alignment horizontal="left"/>
    </xf>
    <xf numFmtId="3" fontId="8" fillId="0" borderId="0" xfId="3" applyNumberFormat="1" applyFont="1" applyAlignment="1">
      <alignment wrapText="1"/>
    </xf>
    <xf numFmtId="9" fontId="15" fillId="0" borderId="0" xfId="1" applyFont="1"/>
    <xf numFmtId="3" fontId="7" fillId="0" borderId="0" xfId="3" applyNumberFormat="1" applyFont="1" applyAlignment="1">
      <alignment horizontal="left"/>
    </xf>
    <xf numFmtId="165" fontId="15" fillId="0" borderId="0" xfId="5" applyNumberFormat="1" applyFont="1"/>
    <xf numFmtId="165" fontId="8" fillId="0" borderId="0" xfId="5" applyNumberFormat="1" applyFont="1"/>
  </cellXfs>
  <cellStyles count="6">
    <cellStyle name="Comma" xfId="2" builtinId="3"/>
    <cellStyle name="Comma 2" xfId="5" xr:uid="{6B582BE8-7B88-4C68-9D22-C725BFA56D1A}"/>
    <cellStyle name="Hyperlink" xfId="4" builtinId="8"/>
    <cellStyle name="Normal" xfId="0" builtinId="0"/>
    <cellStyle name="Normal 2" xfId="3" xr:uid="{D4932C84-10F5-4477-9D49-50EEF88D7C50}"/>
    <cellStyle name="Per cent" xfId="1" builtinId="5"/>
  </cellStyles>
  <dxfs count="0"/>
  <tableStyles count="0" defaultTableStyle="TableStyleMedium9" defaultPivotStyle="PivotStyleLight16"/>
  <colors>
    <mruColors>
      <color rgb="FFFFE045"/>
      <color rgb="FF0078D0"/>
      <color rgb="FFFFB114"/>
      <color rgb="FF00A651"/>
      <color rgb="FFF0282D"/>
      <color rgb="FF0000FF"/>
      <color rgb="FFFFCC66"/>
      <color rgb="FF00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39"/>
  <sheetViews>
    <sheetView topLeftCell="A52" zoomScale="60" zoomScaleNormal="60" workbookViewId="0">
      <pane xSplit="2" topLeftCell="D1" activePane="topRight" state="frozen"/>
      <selection pane="topRight" activeCell="F113" sqref="F113:J114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7.7304687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203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7859684.8298000004</v>
      </c>
      <c r="G4" s="17">
        <f t="shared" ref="G4:I4" si="0">SUBTOTAL(9,G9:G118)</f>
        <v>17414873.37009</v>
      </c>
      <c r="H4" s="17">
        <f t="shared" si="0"/>
        <v>2168084.3833699999</v>
      </c>
      <c r="I4" s="17">
        <f t="shared" si="0"/>
        <v>5697871.4697500002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6" t="s">
        <v>46</v>
      </c>
      <c r="C10" s="58"/>
      <c r="D10" s="76" t="s">
        <v>165</v>
      </c>
      <c r="E10" s="56" t="s">
        <v>169</v>
      </c>
      <c r="F10" s="68" t="s">
        <v>3</v>
      </c>
      <c r="G10" s="83">
        <v>79500</v>
      </c>
      <c r="H10" s="68" t="s">
        <v>3</v>
      </c>
      <c r="I10" s="68" t="s">
        <v>3</v>
      </c>
      <c r="J10" s="46">
        <v>79500</v>
      </c>
      <c r="K10" s="45" t="s">
        <v>207</v>
      </c>
    </row>
    <row r="11" spans="1:11" s="59" customFormat="1" ht="15" x14ac:dyDescent="0.4">
      <c r="A11" s="57"/>
      <c r="B11" s="56" t="s">
        <v>185</v>
      </c>
      <c r="C11" s="58"/>
      <c r="D11" s="76" t="s">
        <v>186</v>
      </c>
      <c r="E11" s="56" t="s">
        <v>187</v>
      </c>
      <c r="F11" s="83">
        <v>0</v>
      </c>
      <c r="G11" s="83">
        <v>1184</v>
      </c>
      <c r="H11" s="83">
        <v>0</v>
      </c>
      <c r="I11" s="83">
        <v>0</v>
      </c>
      <c r="J11" s="46">
        <f t="shared" ref="J11:J30" si="1">SUM(F11:I11)</f>
        <v>1184</v>
      </c>
      <c r="K11" s="45" t="s">
        <v>199</v>
      </c>
    </row>
    <row r="12" spans="1:11" s="59" customFormat="1" ht="15" x14ac:dyDescent="0.4">
      <c r="A12" s="57"/>
      <c r="B12" s="56" t="s">
        <v>188</v>
      </c>
      <c r="C12" s="58"/>
      <c r="D12" s="76" t="s">
        <v>186</v>
      </c>
      <c r="E12" s="56" t="s">
        <v>187</v>
      </c>
      <c r="F12" s="83">
        <v>0</v>
      </c>
      <c r="G12" s="83">
        <v>1181</v>
      </c>
      <c r="H12" s="83">
        <v>0</v>
      </c>
      <c r="I12" s="83">
        <v>0</v>
      </c>
      <c r="J12" s="46">
        <f t="shared" si="1"/>
        <v>1181</v>
      </c>
      <c r="K12" s="45" t="s">
        <v>199</v>
      </c>
    </row>
    <row r="13" spans="1:11" s="59" customFormat="1" ht="15" x14ac:dyDescent="0.4">
      <c r="A13" s="57"/>
      <c r="B13" s="56" t="s">
        <v>189</v>
      </c>
      <c r="C13" s="58"/>
      <c r="D13" s="76" t="s">
        <v>186</v>
      </c>
      <c r="E13" s="56" t="s">
        <v>187</v>
      </c>
      <c r="F13" s="83">
        <v>0</v>
      </c>
      <c r="G13" s="83">
        <v>2138</v>
      </c>
      <c r="H13" s="83">
        <v>0</v>
      </c>
      <c r="I13" s="83">
        <v>0</v>
      </c>
      <c r="J13" s="46">
        <f t="shared" si="1"/>
        <v>2138</v>
      </c>
      <c r="K13" s="45" t="s">
        <v>199</v>
      </c>
    </row>
    <row r="14" spans="1:11" s="59" customFormat="1" ht="15" x14ac:dyDescent="0.4">
      <c r="A14" s="57"/>
      <c r="B14" s="56" t="s">
        <v>190</v>
      </c>
      <c r="C14" s="58"/>
      <c r="D14" s="76" t="s">
        <v>186</v>
      </c>
      <c r="E14" s="56" t="s">
        <v>187</v>
      </c>
      <c r="F14" s="83">
        <v>0</v>
      </c>
      <c r="G14" s="96">
        <v>27949</v>
      </c>
      <c r="H14" s="83">
        <v>0</v>
      </c>
      <c r="I14" s="83">
        <v>0</v>
      </c>
      <c r="J14" s="46">
        <f t="shared" si="1"/>
        <v>27949</v>
      </c>
      <c r="K14" s="45" t="s">
        <v>199</v>
      </c>
    </row>
    <row r="15" spans="1:11" s="59" customFormat="1" ht="15" x14ac:dyDescent="0.4">
      <c r="A15" s="57"/>
      <c r="B15" s="56" t="s">
        <v>191</v>
      </c>
      <c r="C15" s="58"/>
      <c r="D15" s="76" t="s">
        <v>186</v>
      </c>
      <c r="E15" s="56" t="s">
        <v>187</v>
      </c>
      <c r="F15" s="83">
        <v>0</v>
      </c>
      <c r="G15" s="96">
        <v>58</v>
      </c>
      <c r="H15" s="83">
        <v>0</v>
      </c>
      <c r="I15" s="83">
        <v>0</v>
      </c>
      <c r="J15" s="46">
        <f t="shared" si="1"/>
        <v>58</v>
      </c>
      <c r="K15" s="45" t="s">
        <v>199</v>
      </c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99">
        <v>3989</v>
      </c>
      <c r="H16" s="56">
        <v>0</v>
      </c>
      <c r="I16" s="56">
        <v>0</v>
      </c>
      <c r="J16" s="46">
        <f t="shared" si="1"/>
        <v>3989</v>
      </c>
      <c r="K16" s="45" t="s">
        <v>199</v>
      </c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99">
        <v>12525</v>
      </c>
      <c r="H17" s="56">
        <v>0</v>
      </c>
      <c r="I17" s="56">
        <v>0</v>
      </c>
      <c r="J17" s="46">
        <f t="shared" si="1"/>
        <v>12525</v>
      </c>
      <c r="K17" s="45" t="s">
        <v>199</v>
      </c>
    </row>
    <row r="18" spans="1:11" ht="13.9" x14ac:dyDescent="0.4">
      <c r="A18" s="41"/>
      <c r="B18" s="2" t="s">
        <v>104</v>
      </c>
      <c r="C18" s="13" t="s">
        <v>184</v>
      </c>
      <c r="D18" s="13"/>
      <c r="E18" s="2" t="s">
        <v>52</v>
      </c>
      <c r="F18" s="19">
        <v>24160.508999999998</v>
      </c>
      <c r="G18" s="19">
        <v>64948.476999999999</v>
      </c>
      <c r="H18" s="19">
        <v>0</v>
      </c>
      <c r="I18" s="19">
        <v>112186.645</v>
      </c>
      <c r="J18" s="24">
        <f t="shared" si="1"/>
        <v>201295.63099999999</v>
      </c>
      <c r="K18" s="46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12404</v>
      </c>
      <c r="H19" s="83">
        <v>0</v>
      </c>
      <c r="I19" s="83">
        <v>0</v>
      </c>
      <c r="J19" s="46">
        <f t="shared" si="1"/>
        <v>12404</v>
      </c>
      <c r="K19" s="45" t="s">
        <v>199</v>
      </c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1937</v>
      </c>
      <c r="H20" s="83">
        <v>0</v>
      </c>
      <c r="I20" s="83">
        <v>0</v>
      </c>
      <c r="J20" s="46">
        <f t="shared" si="1"/>
        <v>1937</v>
      </c>
      <c r="K20" s="45" t="s">
        <v>199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33">
        <v>0</v>
      </c>
      <c r="G21" s="33">
        <v>100000</v>
      </c>
      <c r="H21" s="33">
        <v>0</v>
      </c>
      <c r="I21" s="33">
        <v>0</v>
      </c>
      <c r="J21" s="34">
        <f t="shared" si="1"/>
        <v>100000</v>
      </c>
      <c r="K21" s="33" t="s">
        <v>212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45">
        <v>2039</v>
      </c>
      <c r="H22" s="45">
        <v>0</v>
      </c>
      <c r="I22" s="45">
        <v>0</v>
      </c>
      <c r="J22" s="46">
        <f t="shared" si="1"/>
        <v>2039</v>
      </c>
      <c r="K22" s="45" t="s">
        <v>199</v>
      </c>
    </row>
    <row r="23" spans="1:11" ht="13.9" x14ac:dyDescent="0.4">
      <c r="A23" s="41"/>
      <c r="B23" s="2" t="s">
        <v>105</v>
      </c>
      <c r="C23" s="13" t="s">
        <v>184</v>
      </c>
      <c r="D23" s="13" t="s">
        <v>165</v>
      </c>
      <c r="E23" s="2" t="s">
        <v>53</v>
      </c>
      <c r="F23" s="22">
        <v>14456.74728</v>
      </c>
      <c r="G23" s="22">
        <f>32808.05181+7085.0641</f>
        <v>39893.115909999993</v>
      </c>
      <c r="H23" s="22">
        <v>2361.89291</v>
      </c>
      <c r="I23" s="22">
        <v>0</v>
      </c>
      <c r="J23" s="24">
        <f t="shared" si="1"/>
        <v>56711.756099999991</v>
      </c>
      <c r="K23" s="46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45">
        <v>1302</v>
      </c>
      <c r="H24" s="45">
        <v>0</v>
      </c>
      <c r="I24" s="45">
        <v>0</v>
      </c>
      <c r="J24" s="46">
        <f t="shared" si="1"/>
        <v>1302</v>
      </c>
      <c r="K24" s="45" t="s">
        <v>199</v>
      </c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8565.6878699999997</v>
      </c>
      <c r="G25" s="22">
        <v>42828.439339999997</v>
      </c>
      <c r="H25" s="19">
        <v>5710.4585699999998</v>
      </c>
      <c r="I25" s="19">
        <v>65162.934419999998</v>
      </c>
      <c r="J25" s="24">
        <f t="shared" si="1"/>
        <v>122267.5202</v>
      </c>
      <c r="K25" s="46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45">
        <v>12386</v>
      </c>
      <c r="H26" s="83">
        <v>0</v>
      </c>
      <c r="I26" s="83">
        <v>0</v>
      </c>
      <c r="J26" s="46">
        <f t="shared" si="1"/>
        <v>12386</v>
      </c>
      <c r="K26" s="45" t="s">
        <v>199</v>
      </c>
    </row>
    <row r="27" spans="1:11" s="66" customFormat="1" ht="13.9" x14ac:dyDescent="0.4">
      <c r="A27" s="64"/>
      <c r="B27" s="2" t="s">
        <v>106</v>
      </c>
      <c r="C27" s="13" t="s">
        <v>184</v>
      </c>
      <c r="D27" s="13"/>
      <c r="E27" s="2" t="s">
        <v>55</v>
      </c>
      <c r="F27" s="88">
        <v>12500</v>
      </c>
      <c r="G27" s="88">
        <v>112500</v>
      </c>
      <c r="H27" s="65">
        <v>0</v>
      </c>
      <c r="I27" s="65">
        <v>0</v>
      </c>
      <c r="J27" s="111">
        <f t="shared" si="1"/>
        <v>125000</v>
      </c>
      <c r="K27" s="119"/>
    </row>
    <row r="28" spans="1:11" s="66" customFormat="1" ht="13.9" x14ac:dyDescent="0.4">
      <c r="A28" s="64"/>
      <c r="B28" s="72" t="s">
        <v>217</v>
      </c>
      <c r="C28" s="71"/>
      <c r="D28" s="71" t="s">
        <v>165</v>
      </c>
      <c r="E28" s="72" t="s">
        <v>169</v>
      </c>
      <c r="F28" s="96" t="s">
        <v>3</v>
      </c>
      <c r="G28" s="96">
        <v>12200</v>
      </c>
      <c r="H28" s="125" t="s">
        <v>3</v>
      </c>
      <c r="I28" s="125" t="s">
        <v>3</v>
      </c>
      <c r="J28" s="97">
        <f>SUM(F28:I28)</f>
        <v>12200</v>
      </c>
      <c r="K28" s="45" t="s">
        <v>277</v>
      </c>
    </row>
    <row r="29" spans="1:11" s="66" customFormat="1" ht="13.9" x14ac:dyDescent="0.4">
      <c r="A29" s="64"/>
      <c r="B29" s="72" t="s">
        <v>197</v>
      </c>
      <c r="C29" s="71"/>
      <c r="D29" s="71" t="s">
        <v>186</v>
      </c>
      <c r="E29" s="72" t="s">
        <v>187</v>
      </c>
      <c r="F29" s="45">
        <v>0</v>
      </c>
      <c r="G29" s="96">
        <v>310</v>
      </c>
      <c r="H29" s="45">
        <v>0</v>
      </c>
      <c r="I29" s="45">
        <v>0</v>
      </c>
      <c r="J29" s="97">
        <f t="shared" si="1"/>
        <v>310</v>
      </c>
      <c r="K29" s="45" t="s">
        <v>199</v>
      </c>
    </row>
    <row r="30" spans="1:11" s="66" customFormat="1" ht="13.9" x14ac:dyDescent="0.4">
      <c r="A30" s="64"/>
      <c r="B30" s="72" t="s">
        <v>198</v>
      </c>
      <c r="C30" s="71"/>
      <c r="D30" s="71" t="s">
        <v>186</v>
      </c>
      <c r="E30" s="72" t="s">
        <v>187</v>
      </c>
      <c r="F30" s="45">
        <v>0</v>
      </c>
      <c r="G30" s="96">
        <v>1937</v>
      </c>
      <c r="H30" s="45">
        <v>0</v>
      </c>
      <c r="I30" s="45">
        <v>0</v>
      </c>
      <c r="J30" s="97">
        <f t="shared" si="1"/>
        <v>1937</v>
      </c>
      <c r="K30" s="45" t="s">
        <v>199</v>
      </c>
    </row>
    <row r="31" spans="1:11" ht="13.9" x14ac:dyDescent="0.4">
      <c r="A31" s="41"/>
      <c r="B31" s="8" t="s">
        <v>107</v>
      </c>
      <c r="C31" s="20" t="s">
        <v>184</v>
      </c>
      <c r="D31" s="20" t="s">
        <v>165</v>
      </c>
      <c r="E31" s="8" t="s">
        <v>56</v>
      </c>
      <c r="F31" s="9" t="s">
        <v>3</v>
      </c>
      <c r="G31" s="19">
        <v>42600</v>
      </c>
      <c r="H31" s="9" t="s">
        <v>3</v>
      </c>
      <c r="I31" s="9" t="s">
        <v>3</v>
      </c>
      <c r="J31" s="24">
        <f>SUM(F31:I31)</f>
        <v>42600</v>
      </c>
      <c r="K31" s="22" t="s">
        <v>166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23"/>
      <c r="G32" s="123"/>
      <c r="H32" s="123"/>
      <c r="I32" s="123"/>
      <c r="J32" s="118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48320.59</v>
      </c>
      <c r="G34" s="22">
        <v>93798.793000000005</v>
      </c>
      <c r="H34" s="22">
        <v>45478.203000000001</v>
      </c>
      <c r="I34" s="22">
        <v>0</v>
      </c>
      <c r="J34" s="24">
        <f>SUM(F34:I34)</f>
        <v>187597.58600000001</v>
      </c>
      <c r="K34" s="32"/>
    </row>
    <row r="35" spans="1:11" ht="13.9" x14ac:dyDescent="0.4">
      <c r="A35" s="42"/>
      <c r="B35" s="2" t="s">
        <v>110</v>
      </c>
      <c r="C35" s="13" t="s">
        <v>184</v>
      </c>
      <c r="D35" s="13"/>
      <c r="E35" s="2" t="s">
        <v>111</v>
      </c>
      <c r="F35" s="22">
        <v>352728.19099999999</v>
      </c>
      <c r="G35" s="22">
        <v>997926.19099999999</v>
      </c>
      <c r="H35" s="22">
        <v>459056.37599999999</v>
      </c>
      <c r="I35" s="22">
        <v>79990.365999999995</v>
      </c>
      <c r="J35" s="24">
        <f>SUM(F35:I35)</f>
        <v>1889701.1239999998</v>
      </c>
      <c r="K35" s="8" t="s">
        <v>211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23"/>
      <c r="G36" s="123"/>
      <c r="H36" s="123"/>
      <c r="I36" s="123"/>
      <c r="J36" s="123"/>
      <c r="K36" s="104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14707.302</v>
      </c>
      <c r="G37" s="45">
        <v>161597.72099999999</v>
      </c>
      <c r="H37" s="45">
        <v>0</v>
      </c>
      <c r="I37" s="45">
        <v>0</v>
      </c>
      <c r="J37" s="46">
        <f t="shared" ref="J37:J54" si="2">SUM(F37:I37)</f>
        <v>176305.02299999999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239</v>
      </c>
      <c r="G38" s="45">
        <v>17578</v>
      </c>
      <c r="H38" s="45">
        <v>0</v>
      </c>
      <c r="I38" s="45">
        <v>0</v>
      </c>
      <c r="J38" s="46">
        <f t="shared" si="2"/>
        <v>17817</v>
      </c>
      <c r="K38" s="56" t="s">
        <v>167</v>
      </c>
    </row>
    <row r="39" spans="1:11" ht="13.9" x14ac:dyDescent="0.4">
      <c r="A39" s="75"/>
      <c r="B39" s="8" t="s">
        <v>139</v>
      </c>
      <c r="C39" s="20" t="s">
        <v>184</v>
      </c>
      <c r="D39" s="69" t="s">
        <v>164</v>
      </c>
      <c r="E39" s="23" t="s">
        <v>152</v>
      </c>
      <c r="F39" s="22">
        <v>97837.57</v>
      </c>
      <c r="G39" s="22">
        <v>915874.58299999998</v>
      </c>
      <c r="H39" s="22">
        <v>62474.491000000002</v>
      </c>
      <c r="I39" s="22">
        <v>264472.647</v>
      </c>
      <c r="J39" s="24">
        <f t="shared" si="2"/>
        <v>1340659.2909999997</v>
      </c>
      <c r="K39" s="8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24668.237000000001</v>
      </c>
      <c r="G40" s="45">
        <v>120413.022</v>
      </c>
      <c r="H40" s="45">
        <v>0</v>
      </c>
      <c r="I40" s="45">
        <v>0</v>
      </c>
      <c r="J40" s="46">
        <f t="shared" si="2"/>
        <v>145081.25899999999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9231.2039999999997</v>
      </c>
      <c r="G41" s="45">
        <v>131680.337</v>
      </c>
      <c r="H41" s="45">
        <v>0</v>
      </c>
      <c r="I41" s="45">
        <v>9000</v>
      </c>
      <c r="J41" s="46">
        <f t="shared" si="2"/>
        <v>149911.541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1188.3599999999999</v>
      </c>
      <c r="G42" s="45">
        <v>15878.906000000001</v>
      </c>
      <c r="H42" s="45">
        <v>0</v>
      </c>
      <c r="I42" s="45">
        <v>0</v>
      </c>
      <c r="J42" s="46">
        <f t="shared" si="2"/>
        <v>17067.266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5203.607</v>
      </c>
      <c r="G43" s="45">
        <v>12835.548000000001</v>
      </c>
      <c r="H43" s="45">
        <v>0</v>
      </c>
      <c r="I43" s="45">
        <v>0</v>
      </c>
      <c r="J43" s="46">
        <f t="shared" si="2"/>
        <v>18039.154999999999</v>
      </c>
      <c r="K43" s="56" t="s">
        <v>167</v>
      </c>
    </row>
    <row r="44" spans="1:11" ht="13.9" x14ac:dyDescent="0.4">
      <c r="A44" s="75"/>
      <c r="B44" s="23" t="s">
        <v>112</v>
      </c>
      <c r="C44" s="13" t="s">
        <v>184</v>
      </c>
      <c r="D44" s="69" t="s">
        <v>164</v>
      </c>
      <c r="E44" s="23" t="s">
        <v>152</v>
      </c>
      <c r="F44" s="19">
        <v>39031.983</v>
      </c>
      <c r="G44" s="19">
        <v>89461.317999999999</v>
      </c>
      <c r="H44" s="19">
        <v>0</v>
      </c>
      <c r="I44" s="19">
        <v>2500</v>
      </c>
      <c r="J44" s="24">
        <f t="shared" si="2"/>
        <v>130993.30100000001</v>
      </c>
      <c r="K44" s="8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1200</v>
      </c>
      <c r="G45" s="83">
        <v>12823.994000000001</v>
      </c>
      <c r="H45" s="83">
        <v>0</v>
      </c>
      <c r="I45" s="83">
        <v>0</v>
      </c>
      <c r="J45" s="46">
        <f t="shared" si="2"/>
        <v>14023.994000000001</v>
      </c>
      <c r="K45" s="56" t="s">
        <v>230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711.53300000000002</v>
      </c>
      <c r="G46" s="83">
        <v>30922.412</v>
      </c>
      <c r="H46" s="83">
        <v>0</v>
      </c>
      <c r="I46" s="83">
        <v>0</v>
      </c>
      <c r="J46" s="46">
        <f t="shared" si="2"/>
        <v>31633.945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661.63</v>
      </c>
      <c r="G47" s="83">
        <v>8315.2199999999993</v>
      </c>
      <c r="H47" s="83">
        <v>0</v>
      </c>
      <c r="I47" s="83">
        <v>0</v>
      </c>
      <c r="J47" s="46">
        <f t="shared" si="2"/>
        <v>8976.8499999999985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100582.246</v>
      </c>
      <c r="G48" s="83">
        <v>381308.68900000001</v>
      </c>
      <c r="H48" s="83">
        <v>0</v>
      </c>
      <c r="I48" s="83">
        <v>211650</v>
      </c>
      <c r="J48" s="46">
        <f t="shared" si="2"/>
        <v>693540.93500000006</v>
      </c>
      <c r="K48" s="56" t="s">
        <v>167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4986.3360000000002</v>
      </c>
      <c r="H49" s="83">
        <v>0</v>
      </c>
      <c r="I49" s="83">
        <v>0</v>
      </c>
      <c r="J49" s="46">
        <f t="shared" si="2"/>
        <v>4986.3360000000002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25871.856</v>
      </c>
      <c r="G50" s="83">
        <v>28732.924999999999</v>
      </c>
      <c r="H50" s="83">
        <v>0</v>
      </c>
      <c r="I50" s="83">
        <v>0</v>
      </c>
      <c r="J50" s="46">
        <f t="shared" si="2"/>
        <v>54604.781000000003</v>
      </c>
      <c r="K50" s="56" t="s">
        <v>167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2338.5079999999998</v>
      </c>
      <c r="G51" s="83">
        <v>13352.377</v>
      </c>
      <c r="H51" s="83">
        <v>0</v>
      </c>
      <c r="I51" s="83">
        <v>0</v>
      </c>
      <c r="J51" s="46">
        <f t="shared" si="2"/>
        <v>15690.885</v>
      </c>
      <c r="K51" s="56" t="s">
        <v>240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25560.460999999999</v>
      </c>
      <c r="G52" s="83">
        <v>63751.974999999999</v>
      </c>
      <c r="H52" s="83">
        <v>0</v>
      </c>
      <c r="I52" s="83">
        <v>3500</v>
      </c>
      <c r="J52" s="46">
        <f t="shared" si="2"/>
        <v>92812.436000000002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13500</v>
      </c>
      <c r="G53" s="83">
        <v>31769.68</v>
      </c>
      <c r="H53" s="83">
        <v>0</v>
      </c>
      <c r="I53" s="83">
        <v>0</v>
      </c>
      <c r="J53" s="46">
        <f t="shared" si="2"/>
        <v>45269.68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72" t="s">
        <v>152</v>
      </c>
      <c r="F54" s="83">
        <v>43601.34</v>
      </c>
      <c r="G54" s="83">
        <v>221712.147</v>
      </c>
      <c r="H54" s="83">
        <v>0</v>
      </c>
      <c r="I54" s="83">
        <v>50000</v>
      </c>
      <c r="J54" s="46">
        <f t="shared" si="2"/>
        <v>315313.48699999996</v>
      </c>
      <c r="K54" s="56" t="s">
        <v>231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23"/>
      <c r="G55" s="123"/>
      <c r="H55" s="123"/>
      <c r="I55" s="123"/>
      <c r="J55" s="118"/>
      <c r="K55" s="104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68000</v>
      </c>
      <c r="G56" s="22">
        <v>239000</v>
      </c>
      <c r="H56" s="22">
        <v>46000</v>
      </c>
      <c r="I56" s="22">
        <v>0</v>
      </c>
      <c r="J56" s="24">
        <f t="shared" ref="J56:J70" si="3">SUM(F56:I56)</f>
        <v>353000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/>
      <c r="E57" s="2" t="s">
        <v>60</v>
      </c>
      <c r="F57" s="22">
        <v>907066.00100000005</v>
      </c>
      <c r="G57" s="22">
        <v>1565385.6880000001</v>
      </c>
      <c r="H57" s="22"/>
      <c r="I57" s="22"/>
      <c r="J57" s="24">
        <f>SUM(F57:I57)</f>
        <v>2472451.6890000002</v>
      </c>
      <c r="K57" s="22" t="s">
        <v>31</v>
      </c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38397.271999999997</v>
      </c>
      <c r="G58" s="22">
        <v>128069.993</v>
      </c>
      <c r="H58" s="22">
        <v>0</v>
      </c>
      <c r="I58" s="22">
        <v>0</v>
      </c>
      <c r="J58" s="24">
        <f t="shared" si="3"/>
        <v>166467.26500000001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47292.178999999996</v>
      </c>
      <c r="G59" s="22">
        <v>104802.821</v>
      </c>
      <c r="H59" s="22">
        <v>17430.641</v>
      </c>
      <c r="I59" s="22">
        <v>0</v>
      </c>
      <c r="J59" s="24">
        <f t="shared" si="3"/>
        <v>169525.641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48317.531999999999</v>
      </c>
      <c r="G60" s="22">
        <v>329384.01299999998</v>
      </c>
      <c r="H60" s="22">
        <v>3126.8249999999998</v>
      </c>
      <c r="I60" s="22">
        <v>101784.63</v>
      </c>
      <c r="J60" s="24">
        <f t="shared" si="3"/>
        <v>482613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101000</v>
      </c>
      <c r="G61" s="45">
        <v>231000</v>
      </c>
      <c r="H61" s="45">
        <v>0</v>
      </c>
      <c r="I61" s="45">
        <v>0</v>
      </c>
      <c r="J61" s="46">
        <f>SUM(F61:I61)</f>
        <v>332000</v>
      </c>
      <c r="K61" s="45" t="s">
        <v>235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8500</v>
      </c>
      <c r="G62" s="22">
        <v>38000</v>
      </c>
      <c r="H62" s="22">
        <v>0</v>
      </c>
      <c r="I62" s="22">
        <v>0</v>
      </c>
      <c r="J62" s="24">
        <f t="shared" si="3"/>
        <v>46500</v>
      </c>
      <c r="K62" s="34"/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574134</v>
      </c>
      <c r="G63" s="19">
        <v>1360304</v>
      </c>
      <c r="H63" s="19">
        <v>45413</v>
      </c>
      <c r="I63" s="19">
        <v>142361</v>
      </c>
      <c r="J63" s="24">
        <f t="shared" si="3"/>
        <v>2122212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8254.9599999999991</v>
      </c>
      <c r="G64" s="19">
        <v>23861.014999999999</v>
      </c>
      <c r="H64" s="19">
        <v>2719.5830000000001</v>
      </c>
      <c r="I64" s="9" t="s">
        <v>3</v>
      </c>
      <c r="J64" s="24">
        <f t="shared" si="3"/>
        <v>34835.557999999997</v>
      </c>
      <c r="K64" s="102"/>
    </row>
    <row r="65" spans="1:11" ht="13.9" x14ac:dyDescent="0.4">
      <c r="A65" s="39"/>
      <c r="B65" s="2" t="s">
        <v>118</v>
      </c>
      <c r="C65" s="13" t="s">
        <v>184</v>
      </c>
      <c r="D65" s="13"/>
      <c r="E65" s="2" t="s">
        <v>205</v>
      </c>
      <c r="F65" s="112">
        <v>8300</v>
      </c>
      <c r="G65" s="112">
        <v>24100</v>
      </c>
      <c r="H65" s="112">
        <v>690</v>
      </c>
      <c r="I65" s="112">
        <v>0</v>
      </c>
      <c r="J65" s="114">
        <f t="shared" si="3"/>
        <v>33090</v>
      </c>
      <c r="K65" s="110"/>
    </row>
    <row r="66" spans="1:11" ht="13.9" x14ac:dyDescent="0.4">
      <c r="A66" s="39"/>
      <c r="B66" s="2" t="s">
        <v>119</v>
      </c>
      <c r="C66" s="13" t="s">
        <v>184</v>
      </c>
      <c r="D66" s="13"/>
      <c r="E66" s="2" t="s">
        <v>206</v>
      </c>
      <c r="F66" s="22">
        <v>272687</v>
      </c>
      <c r="G66" s="22">
        <v>227836</v>
      </c>
      <c r="H66" s="22">
        <v>5163</v>
      </c>
      <c r="I66" s="19">
        <v>67560</v>
      </c>
      <c r="J66" s="24">
        <f>SUM(F66:I66)</f>
        <v>573246</v>
      </c>
      <c r="K66" s="101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77830.414999999994</v>
      </c>
      <c r="G67" s="22">
        <v>134444.106</v>
      </c>
      <c r="H67" s="22">
        <v>0</v>
      </c>
      <c r="I67" s="22">
        <v>186934.049</v>
      </c>
      <c r="J67" s="24">
        <f t="shared" ref="J67" si="4">SUM(F67:I67)</f>
        <v>399208.57</v>
      </c>
      <c r="K67" s="34"/>
    </row>
    <row r="68" spans="1:11" ht="13.9" x14ac:dyDescent="0.4">
      <c r="A68" s="39"/>
      <c r="B68" s="2" t="s">
        <v>291</v>
      </c>
      <c r="C68" s="13"/>
      <c r="D68" s="13"/>
      <c r="E68" s="2"/>
      <c r="F68" s="22"/>
      <c r="G68" s="22"/>
      <c r="H68" s="22"/>
      <c r="I68" s="22"/>
      <c r="J68" s="24"/>
      <c r="K68" s="34"/>
    </row>
    <row r="69" spans="1:11" ht="13.9" x14ac:dyDescent="0.4">
      <c r="A69" s="39"/>
      <c r="B69" s="2" t="s">
        <v>120</v>
      </c>
      <c r="C69" s="13" t="s">
        <v>184</v>
      </c>
      <c r="D69" s="13"/>
      <c r="E69" s="2" t="s">
        <v>66</v>
      </c>
      <c r="F69" s="112">
        <v>22696.093000000001</v>
      </c>
      <c r="G69" s="112">
        <v>62269.267</v>
      </c>
      <c r="H69" s="112">
        <v>4963.3580000000002</v>
      </c>
      <c r="I69" s="112">
        <v>0</v>
      </c>
      <c r="J69" s="114">
        <f>SUM(F69:I69)</f>
        <v>89928.717999999993</v>
      </c>
      <c r="K69" s="33"/>
    </row>
    <row r="70" spans="1:11" ht="13.9" x14ac:dyDescent="0.4">
      <c r="A70" s="39"/>
      <c r="B70" s="56" t="s">
        <v>161</v>
      </c>
      <c r="C70" s="53" t="s">
        <v>183</v>
      </c>
      <c r="D70" s="53"/>
      <c r="E70" s="56" t="s">
        <v>160</v>
      </c>
      <c r="F70" s="45">
        <v>39000</v>
      </c>
      <c r="G70" s="45">
        <v>70000</v>
      </c>
      <c r="H70" s="45">
        <v>0</v>
      </c>
      <c r="I70" s="45">
        <v>0</v>
      </c>
      <c r="J70" s="46">
        <f t="shared" si="3"/>
        <v>109000</v>
      </c>
      <c r="K70" s="45" t="s">
        <v>235</v>
      </c>
    </row>
    <row r="71" spans="1:11" ht="13.9" x14ac:dyDescent="0.4">
      <c r="A71" s="39"/>
      <c r="B71" s="2" t="s">
        <v>121</v>
      </c>
      <c r="C71" s="13" t="s">
        <v>184</v>
      </c>
      <c r="D71" s="13"/>
      <c r="E71" s="2" t="s">
        <v>67</v>
      </c>
      <c r="F71" s="22">
        <v>680830</v>
      </c>
      <c r="G71" s="22">
        <v>248640</v>
      </c>
      <c r="H71" s="22" t="s">
        <v>16</v>
      </c>
      <c r="I71" s="22">
        <v>0</v>
      </c>
      <c r="J71" s="24">
        <f>SUM(F71:I71)</f>
        <v>929470</v>
      </c>
      <c r="K71" s="22" t="s">
        <v>290</v>
      </c>
    </row>
    <row r="72" spans="1:11" ht="13.9" x14ac:dyDescent="0.4">
      <c r="A72" s="39"/>
      <c r="B72" s="72" t="s">
        <v>162</v>
      </c>
      <c r="C72" s="71" t="s">
        <v>184</v>
      </c>
      <c r="D72" s="71"/>
      <c r="E72" s="72" t="s">
        <v>182</v>
      </c>
      <c r="F72" s="45">
        <v>13000</v>
      </c>
      <c r="G72" s="45">
        <v>150000</v>
      </c>
      <c r="H72" s="45">
        <v>0</v>
      </c>
      <c r="I72" s="45">
        <v>0</v>
      </c>
      <c r="J72" s="46">
        <f>SUM(F72:I72)</f>
        <v>163000</v>
      </c>
      <c r="K72" s="45" t="s">
        <v>235</v>
      </c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93000</v>
      </c>
      <c r="G73" s="83">
        <v>124000</v>
      </c>
      <c r="H73" s="83">
        <v>0</v>
      </c>
      <c r="I73" s="83">
        <v>0</v>
      </c>
      <c r="J73" s="46">
        <f>SUM(F73:I73)</f>
        <v>217000</v>
      </c>
      <c r="K73" s="45" t="s">
        <v>235</v>
      </c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23"/>
      <c r="G74" s="123"/>
      <c r="H74" s="123"/>
      <c r="I74" s="123"/>
      <c r="J74" s="123"/>
      <c r="K74" s="104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95.495000000000005</v>
      </c>
      <c r="G75" s="19">
        <v>441.79500000000002</v>
      </c>
      <c r="H75" s="19">
        <v>113.139</v>
      </c>
      <c r="I75" s="19">
        <v>0</v>
      </c>
      <c r="J75" s="24">
        <f>SUM(F75:I75)</f>
        <v>650.42899999999997</v>
      </c>
      <c r="K75" s="33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13">
        <v>0</v>
      </c>
      <c r="G76" s="113">
        <v>210669</v>
      </c>
      <c r="H76" s="113">
        <v>0</v>
      </c>
      <c r="I76" s="113">
        <v>0</v>
      </c>
      <c r="J76" s="114">
        <f>SUM(F76:I76)</f>
        <v>210669</v>
      </c>
      <c r="K76" s="109"/>
    </row>
    <row r="77" spans="1:11" ht="13.9" x14ac:dyDescent="0.4">
      <c r="A77" s="40"/>
      <c r="B77" s="56" t="s">
        <v>32</v>
      </c>
      <c r="C77" s="71"/>
      <c r="D77" s="53"/>
      <c r="E77" s="2"/>
      <c r="F77" s="122" t="s">
        <v>3</v>
      </c>
      <c r="G77" s="122" t="s">
        <v>3</v>
      </c>
      <c r="H77" s="122" t="s">
        <v>3</v>
      </c>
      <c r="I77" s="122" t="s">
        <v>3</v>
      </c>
      <c r="J77" s="124">
        <v>20000</v>
      </c>
      <c r="K77" s="33" t="s">
        <v>220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36401.296000000002</v>
      </c>
      <c r="G78" s="22">
        <v>293363.41600000003</v>
      </c>
      <c r="H78" s="22">
        <v>0</v>
      </c>
      <c r="I78" s="22">
        <v>0</v>
      </c>
      <c r="J78" s="24">
        <f>SUM(F78:I78)</f>
        <v>329764.71200000006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22">
        <v>7250.3270000000002</v>
      </c>
      <c r="G79" s="22">
        <v>11082.674999999999</v>
      </c>
      <c r="H79" s="22">
        <v>829.399</v>
      </c>
      <c r="I79" s="22">
        <v>0</v>
      </c>
      <c r="J79" s="24">
        <f>SUM(F79:I79)</f>
        <v>19162.401000000002</v>
      </c>
      <c r="K79" s="34"/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23354.3367</v>
      </c>
      <c r="G80" s="19">
        <v>7873.9493599999996</v>
      </c>
      <c r="H80" s="19">
        <v>9395.8220799999999</v>
      </c>
      <c r="I80" s="19">
        <v>3419.68633</v>
      </c>
      <c r="J80" s="24">
        <f>SUM(F80:I80)</f>
        <v>44043.794469999993</v>
      </c>
      <c r="K80" s="102"/>
    </row>
    <row r="81" spans="1:11" ht="13.9" x14ac:dyDescent="0.4">
      <c r="A81" s="40"/>
      <c r="B81" s="2" t="s">
        <v>125</v>
      </c>
      <c r="C81" s="13" t="s">
        <v>184</v>
      </c>
      <c r="D81" s="13"/>
      <c r="E81" s="2" t="s">
        <v>73</v>
      </c>
      <c r="F81" s="22">
        <v>555.85799999999995</v>
      </c>
      <c r="G81" s="22">
        <v>2115.2579999999998</v>
      </c>
      <c r="H81" s="22">
        <v>227.54599999999999</v>
      </c>
      <c r="I81" s="22">
        <v>0</v>
      </c>
      <c r="J81" s="24">
        <f>SUM(F81:I81)</f>
        <v>2898.6619999999998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117">
        <v>500</v>
      </c>
      <c r="G82" s="117">
        <v>30000</v>
      </c>
      <c r="H82" s="117">
        <v>800</v>
      </c>
      <c r="I82" s="117">
        <v>0</v>
      </c>
      <c r="J82" s="118">
        <f t="shared" ref="J82:J87" si="5">SUM(F82:I82)</f>
        <v>31300</v>
      </c>
      <c r="K82" s="45" t="s">
        <v>223</v>
      </c>
    </row>
    <row r="83" spans="1:11" ht="13.9" x14ac:dyDescent="0.4">
      <c r="A83" s="40"/>
      <c r="B83" s="2" t="s">
        <v>127</v>
      </c>
      <c r="C83" s="13" t="s">
        <v>184</v>
      </c>
      <c r="D83" s="13"/>
      <c r="E83" s="2" t="s">
        <v>75</v>
      </c>
      <c r="F83" s="9" t="s">
        <v>26</v>
      </c>
      <c r="G83" s="19">
        <v>45100</v>
      </c>
      <c r="H83" s="19" t="s">
        <v>3</v>
      </c>
      <c r="I83" s="19" t="s">
        <v>3</v>
      </c>
      <c r="J83" s="24">
        <f t="shared" si="5"/>
        <v>45100</v>
      </c>
      <c r="K83" s="22" t="s">
        <v>180</v>
      </c>
    </row>
    <row r="84" spans="1:11" ht="13.9" x14ac:dyDescent="0.4">
      <c r="A84" s="40"/>
      <c r="B84" s="2" t="s">
        <v>128</v>
      </c>
      <c r="C84" s="13" t="s">
        <v>184</v>
      </c>
      <c r="D84" s="13"/>
      <c r="E84" s="2" t="s">
        <v>76</v>
      </c>
      <c r="F84" s="129" t="s">
        <v>26</v>
      </c>
      <c r="G84" s="113">
        <v>57804.591</v>
      </c>
      <c r="H84" s="113">
        <v>2187</v>
      </c>
      <c r="I84" s="113">
        <v>0</v>
      </c>
      <c r="J84" s="114">
        <f t="shared" si="5"/>
        <v>59991.591</v>
      </c>
      <c r="K84" s="8" t="s">
        <v>180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297575.90999999997</v>
      </c>
      <c r="G85" s="22">
        <v>793171.53</v>
      </c>
      <c r="H85" s="22">
        <v>0</v>
      </c>
      <c r="I85" s="22">
        <v>0</v>
      </c>
      <c r="J85" s="24">
        <f t="shared" si="5"/>
        <v>1090747.44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134839</v>
      </c>
      <c r="G86" s="22">
        <v>1170343</v>
      </c>
      <c r="H86" s="22">
        <v>0</v>
      </c>
      <c r="I86" s="22">
        <v>0</v>
      </c>
      <c r="J86" s="24">
        <f t="shared" si="5"/>
        <v>1305182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14212.97766</v>
      </c>
      <c r="G87" s="22">
        <v>29123.552950000001</v>
      </c>
      <c r="H87" s="22">
        <v>8905.7334100000007</v>
      </c>
      <c r="I87" s="22">
        <v>0</v>
      </c>
      <c r="J87" s="24">
        <f t="shared" si="5"/>
        <v>52242.264020000002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22" t="s">
        <v>3</v>
      </c>
      <c r="G88" s="122" t="s">
        <v>3</v>
      </c>
      <c r="H88" s="122" t="s">
        <v>3</v>
      </c>
      <c r="I88" s="122" t="s">
        <v>3</v>
      </c>
      <c r="J88" s="118">
        <v>13000</v>
      </c>
      <c r="K88" s="45" t="s">
        <v>221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117">
        <v>10000</v>
      </c>
      <c r="G89" s="117">
        <v>20000</v>
      </c>
      <c r="H89" s="117">
        <v>0</v>
      </c>
      <c r="I89" s="117">
        <v>0</v>
      </c>
      <c r="J89" s="118">
        <v>26000</v>
      </c>
      <c r="K89" s="45" t="s">
        <v>221</v>
      </c>
    </row>
    <row r="90" spans="1:11" ht="13.9" x14ac:dyDescent="0.4">
      <c r="A90" s="40"/>
      <c r="B90" s="2" t="s">
        <v>19</v>
      </c>
      <c r="C90" s="13" t="s">
        <v>184</v>
      </c>
      <c r="D90" s="13"/>
      <c r="E90" s="2" t="s">
        <v>82</v>
      </c>
      <c r="F90" s="22">
        <v>298876.136</v>
      </c>
      <c r="G90" s="22">
        <v>433063.10499999998</v>
      </c>
      <c r="H90" s="22">
        <v>18151.189999999999</v>
      </c>
      <c r="I90" s="22">
        <v>91162.509000000005</v>
      </c>
      <c r="J90" s="24">
        <f t="shared" ref="J90:J100" si="6">SUM(F90:I90)</f>
        <v>841252.93999999983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210000</v>
      </c>
      <c r="G91" s="22">
        <v>367000</v>
      </c>
      <c r="H91" s="22">
        <v>0</v>
      </c>
      <c r="I91" s="19">
        <v>0</v>
      </c>
      <c r="J91" s="24">
        <f t="shared" si="6"/>
        <v>577000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777800</v>
      </c>
      <c r="G92" s="22">
        <v>75200</v>
      </c>
      <c r="H92" s="22">
        <v>0</v>
      </c>
      <c r="I92" s="19">
        <v>151000</v>
      </c>
      <c r="J92" s="24">
        <f t="shared" si="6"/>
        <v>1004000</v>
      </c>
      <c r="K92" s="101" t="s">
        <v>201</v>
      </c>
    </row>
    <row r="93" spans="1:11" ht="13.9" x14ac:dyDescent="0.4">
      <c r="A93" s="40"/>
      <c r="B93" s="2" t="s">
        <v>132</v>
      </c>
      <c r="C93" s="13" t="s">
        <v>184</v>
      </c>
      <c r="D93" s="13"/>
      <c r="E93" s="2" t="s">
        <v>85</v>
      </c>
      <c r="F93" s="22">
        <v>26668.581999999999</v>
      </c>
      <c r="G93" s="22">
        <v>73407.56</v>
      </c>
      <c r="H93" s="22">
        <v>1804.68</v>
      </c>
      <c r="I93" s="22">
        <v>4190.2240000000002</v>
      </c>
      <c r="J93" s="24">
        <f t="shared" si="6"/>
        <v>106071.04599999999</v>
      </c>
      <c r="K93" s="34"/>
    </row>
    <row r="94" spans="1:11" ht="13.9" x14ac:dyDescent="0.4">
      <c r="A94" s="40"/>
      <c r="B94" s="2" t="s">
        <v>133</v>
      </c>
      <c r="C94" s="13" t="s">
        <v>184</v>
      </c>
      <c r="D94" s="13"/>
      <c r="E94" s="2" t="s">
        <v>86</v>
      </c>
      <c r="F94" s="22">
        <v>21355.599999999999</v>
      </c>
      <c r="G94" s="22">
        <v>34422</v>
      </c>
      <c r="H94" s="19">
        <v>2276.5300000000002</v>
      </c>
      <c r="I94" s="22">
        <v>0</v>
      </c>
      <c r="J94" s="24">
        <f t="shared" si="6"/>
        <v>58054.13</v>
      </c>
      <c r="K94" s="34"/>
    </row>
    <row r="95" spans="1:11" ht="13.9" x14ac:dyDescent="0.4">
      <c r="A95" s="40"/>
      <c r="B95" s="2" t="s">
        <v>134</v>
      </c>
      <c r="C95" s="13" t="s">
        <v>184</v>
      </c>
      <c r="D95" s="13"/>
      <c r="E95" s="2" t="s">
        <v>87</v>
      </c>
      <c r="F95" s="22">
        <v>15791.776</v>
      </c>
      <c r="G95" s="73">
        <v>10000</v>
      </c>
      <c r="H95" s="22">
        <v>3911.1179999999999</v>
      </c>
      <c r="I95" s="22">
        <v>0</v>
      </c>
      <c r="J95" s="24">
        <f t="shared" si="6"/>
        <v>29702.893999999997</v>
      </c>
      <c r="K95" s="22" t="s">
        <v>213</v>
      </c>
    </row>
    <row r="96" spans="1:11" ht="13.9" x14ac:dyDescent="0.4">
      <c r="A96" s="40"/>
      <c r="B96" s="2" t="s">
        <v>24</v>
      </c>
      <c r="C96" s="13" t="s">
        <v>184</v>
      </c>
      <c r="D96" s="13"/>
      <c r="E96" s="2" t="s">
        <v>178</v>
      </c>
      <c r="F96" s="22">
        <v>76705.931909999999</v>
      </c>
      <c r="G96" s="22">
        <f>387402.59232</f>
        <v>387402.59232</v>
      </c>
      <c r="H96" s="22">
        <f>35573.58546</f>
        <v>35573.585460000002</v>
      </c>
      <c r="I96" s="19" t="s">
        <v>3</v>
      </c>
      <c r="J96" s="24">
        <f t="shared" si="6"/>
        <v>499682.10968999995</v>
      </c>
      <c r="K96" s="22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112">
        <v>1397.48738</v>
      </c>
      <c r="G97" s="112">
        <v>14780.375700000001</v>
      </c>
      <c r="H97" s="112">
        <v>1425.45174</v>
      </c>
      <c r="I97" s="112">
        <v>0</v>
      </c>
      <c r="J97" s="114">
        <f t="shared" si="6"/>
        <v>17603.31482</v>
      </c>
      <c r="K97" s="3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112">
        <v>133569.08199999999</v>
      </c>
      <c r="G98" s="112">
        <v>207148.59959999999</v>
      </c>
      <c r="H98" s="112">
        <v>14471.717199999999</v>
      </c>
      <c r="I98" s="112">
        <v>0</v>
      </c>
      <c r="J98" s="114">
        <f t="shared" si="6"/>
        <v>355189.39880000002</v>
      </c>
      <c r="K98" s="8"/>
    </row>
    <row r="99" spans="1:11" ht="13.9" x14ac:dyDescent="0.4">
      <c r="A99" s="40"/>
      <c r="B99" s="2" t="s">
        <v>137</v>
      </c>
      <c r="C99" s="13" t="s">
        <v>184</v>
      </c>
      <c r="D99" s="13"/>
      <c r="E99" s="2" t="s">
        <v>90</v>
      </c>
      <c r="F99" s="22">
        <v>70671.172999999995</v>
      </c>
      <c r="G99" s="22">
        <v>127561.606</v>
      </c>
      <c r="H99" s="22">
        <v>0</v>
      </c>
      <c r="I99" s="19">
        <v>0</v>
      </c>
      <c r="J99" s="24">
        <f t="shared" si="6"/>
        <v>198232.77899999998</v>
      </c>
      <c r="K99" s="32"/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0</v>
      </c>
      <c r="G100" s="19">
        <v>258000</v>
      </c>
      <c r="H100" s="19">
        <v>0</v>
      </c>
      <c r="I100" s="19">
        <v>0</v>
      </c>
      <c r="J100" s="24">
        <f t="shared" si="6"/>
        <v>258000</v>
      </c>
      <c r="K100" s="107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60252.904000000002</v>
      </c>
      <c r="G101" s="19">
        <v>209717.19490999999</v>
      </c>
      <c r="H101" s="19">
        <v>4036.3220000000001</v>
      </c>
      <c r="I101" s="19">
        <v>0</v>
      </c>
      <c r="J101" s="24">
        <f>SUM(F101:I101)</f>
        <v>274006.42090999999</v>
      </c>
      <c r="K101" s="22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117">
        <v>1500</v>
      </c>
      <c r="G102" s="117">
        <v>217000</v>
      </c>
      <c r="H102" s="117">
        <v>300</v>
      </c>
      <c r="I102" s="117">
        <v>0</v>
      </c>
      <c r="J102" s="118">
        <f t="shared" ref="J102" si="7">SUM(F102:I102)</f>
        <v>218800</v>
      </c>
      <c r="K102" s="45" t="s">
        <v>223</v>
      </c>
    </row>
    <row r="103" spans="1:11" ht="13.9" x14ac:dyDescent="0.4">
      <c r="A103" s="40"/>
      <c r="B103" s="2" t="s">
        <v>100</v>
      </c>
      <c r="C103" s="13" t="s">
        <v>184</v>
      </c>
      <c r="D103" s="13"/>
      <c r="E103" s="2" t="s">
        <v>94</v>
      </c>
      <c r="F103" s="22">
        <v>467220.446</v>
      </c>
      <c r="G103" s="22">
        <v>690388.00899999996</v>
      </c>
      <c r="H103" s="22">
        <v>337181.73</v>
      </c>
      <c r="I103" s="22">
        <v>1328017.0060000001</v>
      </c>
      <c r="J103" s="24">
        <f>SUM(F103:I103)</f>
        <v>2822807.1910000001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1295018.497</v>
      </c>
      <c r="G104" s="22">
        <v>1407967.4509999999</v>
      </c>
      <c r="H104" s="22">
        <v>1025905.591</v>
      </c>
      <c r="I104" s="22">
        <v>2822979.773</v>
      </c>
      <c r="J104" s="24">
        <f>SUM(F104:I104)</f>
        <v>6551871.3119999999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23"/>
      <c r="G105" s="123"/>
      <c r="H105" s="123"/>
      <c r="I105" s="123"/>
      <c r="J105" s="123"/>
      <c r="K105" s="104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21200</v>
      </c>
      <c r="H106" s="68" t="s">
        <v>3</v>
      </c>
      <c r="I106" s="68" t="s">
        <v>3</v>
      </c>
      <c r="J106" s="46">
        <f t="shared" ref="J106" si="8">SUM(F106:I106)</f>
        <v>21200</v>
      </c>
      <c r="K106" s="72" t="s">
        <v>200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68" t="s">
        <v>3</v>
      </c>
      <c r="G107" s="68" t="s">
        <v>3</v>
      </c>
      <c r="H107" s="68" t="s">
        <v>3</v>
      </c>
      <c r="I107" s="68" t="s">
        <v>3</v>
      </c>
      <c r="J107" s="48" t="s">
        <v>3</v>
      </c>
      <c r="K107" s="45" t="s">
        <v>166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40400</v>
      </c>
      <c r="H108" s="68" t="s">
        <v>3</v>
      </c>
      <c r="I108" s="68" t="s">
        <v>3</v>
      </c>
      <c r="J108" s="46">
        <f t="shared" ref="J108:J109" si="9">SUM(F108:I108)</f>
        <v>40400</v>
      </c>
      <c r="K108" s="72" t="s">
        <v>200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83">
        <v>17700</v>
      </c>
      <c r="H109" s="68" t="s">
        <v>3</v>
      </c>
      <c r="I109" s="68" t="s">
        <v>3</v>
      </c>
      <c r="J109" s="46">
        <f t="shared" si="9"/>
        <v>17700</v>
      </c>
      <c r="K109" s="72" t="s">
        <v>200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19">
        <v>0</v>
      </c>
      <c r="G110" s="19">
        <v>45200</v>
      </c>
      <c r="H110" s="19">
        <v>0</v>
      </c>
      <c r="I110" s="19">
        <v>0</v>
      </c>
      <c r="J110" s="24">
        <f>SUM(F110:I110)</f>
        <v>45200</v>
      </c>
      <c r="K110" s="33"/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22">
        <v>2900</v>
      </c>
      <c r="G111" s="122">
        <v>13000</v>
      </c>
      <c r="H111" s="122" t="s">
        <v>3</v>
      </c>
      <c r="I111" s="122" t="s">
        <v>3</v>
      </c>
      <c r="J111" s="118">
        <f>SUM(F111:I111)</f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83">
        <v>37700</v>
      </c>
      <c r="H112" s="68" t="s">
        <v>3</v>
      </c>
      <c r="I112" s="68" t="s">
        <v>3</v>
      </c>
      <c r="J112" s="46">
        <f>SUM(F112:I112)</f>
        <v>37700</v>
      </c>
      <c r="K112" s="72" t="s">
        <v>200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1700</v>
      </c>
      <c r="H113" s="68" t="s">
        <v>3</v>
      </c>
      <c r="I113" s="68" t="s">
        <v>3</v>
      </c>
      <c r="J113" s="46">
        <v>1700</v>
      </c>
      <c r="K113" s="72" t="s">
        <v>166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68" t="s">
        <v>3</v>
      </c>
      <c r="G114" s="83">
        <v>306000</v>
      </c>
      <c r="H114" s="68" t="s">
        <v>3</v>
      </c>
      <c r="I114" s="68" t="s">
        <v>3</v>
      </c>
      <c r="J114" s="46">
        <v>306000</v>
      </c>
      <c r="K114" s="72" t="s">
        <v>166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253800</v>
      </c>
      <c r="H115" s="68" t="s">
        <v>3</v>
      </c>
      <c r="I115" s="68" t="s">
        <v>3</v>
      </c>
      <c r="J115" s="46">
        <v>216000</v>
      </c>
      <c r="K115" s="72" t="s">
        <v>200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68" t="s">
        <v>3</v>
      </c>
      <c r="G116" s="83">
        <v>32500</v>
      </c>
      <c r="H116" s="68" t="s">
        <v>3</v>
      </c>
      <c r="I116" s="68" t="s">
        <v>3</v>
      </c>
      <c r="J116" s="46">
        <f>SUM(F116:I116)</f>
        <v>32500</v>
      </c>
      <c r="K116" s="72" t="s">
        <v>277</v>
      </c>
    </row>
    <row r="117" spans="1:11" s="47" customFormat="1" ht="13.9" x14ac:dyDescent="0.4">
      <c r="A117" s="70"/>
      <c r="B117" s="56" t="s">
        <v>35</v>
      </c>
      <c r="C117" s="53"/>
      <c r="D117" s="76" t="s">
        <v>165</v>
      </c>
      <c r="E117" s="56" t="s">
        <v>169</v>
      </c>
      <c r="F117" s="68" t="s">
        <v>3</v>
      </c>
      <c r="G117" s="83">
        <v>454000</v>
      </c>
      <c r="H117" s="68" t="s">
        <v>3</v>
      </c>
      <c r="I117" s="68" t="s">
        <v>3</v>
      </c>
      <c r="J117" s="46">
        <f t="shared" ref="J117:J118" si="10">SUM(F117:I117)</f>
        <v>454000</v>
      </c>
      <c r="K117" s="45" t="s">
        <v>200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68" t="s">
        <v>3</v>
      </c>
      <c r="G118" s="83">
        <v>15900</v>
      </c>
      <c r="H118" s="68" t="s">
        <v>3</v>
      </c>
      <c r="I118" s="68" t="s">
        <v>3</v>
      </c>
      <c r="J118" s="46">
        <f t="shared" si="10"/>
        <v>15900</v>
      </c>
      <c r="K118" s="72" t="s">
        <v>277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7859684.8298000004</v>
      </c>
      <c r="G120" s="21">
        <f>SUM(G10:G119)</f>
        <v>17414873.37009</v>
      </c>
      <c r="H120" s="21">
        <f>SUM(H10:H119)</f>
        <v>2168084.3833699999</v>
      </c>
      <c r="I120" s="21">
        <f>SUM(I10:I119)</f>
        <v>5697871.4697500002</v>
      </c>
      <c r="J120" s="67">
        <f>SUM(J10:J119)</f>
        <v>33131714.053009998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10027769.213169999</v>
      </c>
      <c r="G121" s="8"/>
      <c r="H121" s="8"/>
      <c r="I121" s="35"/>
      <c r="J121" s="22">
        <f>SUM(F120:I120)</f>
        <v>33140514.053010002</v>
      </c>
      <c r="K121" s="1">
        <f>J120-J121</f>
        <v>-8800.0000000037253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7862984.8298000004</v>
      </c>
      <c r="G123" s="86">
        <f>G120+G129</f>
        <v>17444573.37009</v>
      </c>
      <c r="H123" s="86">
        <f>H120</f>
        <v>2168084.3833699999</v>
      </c>
      <c r="I123" s="86">
        <f>I120</f>
        <v>5697871.4697500002</v>
      </c>
      <c r="J123" s="86">
        <f>SUM(F123:I123)</f>
        <v>33173514.053010002</v>
      </c>
      <c r="K123" s="6">
        <f>J123-J120</f>
        <v>41800.000000003725</v>
      </c>
    </row>
    <row r="124" spans="1:11" s="5" customFormat="1" ht="13.9" x14ac:dyDescent="0.4">
      <c r="A124" s="26"/>
      <c r="B124" s="35"/>
      <c r="C124" s="35"/>
      <c r="D124" s="35"/>
      <c r="E124" s="74" t="s">
        <v>218</v>
      </c>
      <c r="F124" s="22">
        <f>F123+H123</f>
        <v>10031069.213169999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0.23702598456211943</v>
      </c>
      <c r="G125" s="29">
        <f>G123/$J123</f>
        <v>0.52585847077322712</v>
      </c>
      <c r="H125" s="29">
        <f>H123/$J123</f>
        <v>6.535588541827328E-2</v>
      </c>
      <c r="I125" s="29">
        <f>I123/$J123</f>
        <v>0.17175965924638012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12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3300</v>
      </c>
      <c r="G129" s="7">
        <f>0.9*$J139</f>
        <v>29700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11">0.1*$J132</f>
        <v>0</v>
      </c>
      <c r="G132" s="7">
        <f t="shared" ref="G132:G137" si="12">0.9*$J132</f>
        <v>0</v>
      </c>
      <c r="H132" s="7">
        <v>0</v>
      </c>
      <c r="I132" s="7">
        <v>0</v>
      </c>
      <c r="J132" s="7">
        <v>0</v>
      </c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11"/>
        <v>0</v>
      </c>
      <c r="G133" s="7">
        <f t="shared" si="12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11"/>
        <v>0</v>
      </c>
      <c r="G134" s="7">
        <f t="shared" si="12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11"/>
        <v>0</v>
      </c>
      <c r="G135" s="7">
        <f t="shared" si="12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 t="shared" si="11"/>
        <v>3300</v>
      </c>
      <c r="G136" s="7">
        <f t="shared" si="12"/>
        <v>29700</v>
      </c>
      <c r="H136" s="7">
        <v>0</v>
      </c>
      <c r="I136" s="7">
        <v>0</v>
      </c>
      <c r="J136" s="22">
        <f>J77+J88</f>
        <v>33000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11"/>
        <v>0</v>
      </c>
      <c r="G137" s="7">
        <f t="shared" si="12"/>
        <v>0</v>
      </c>
      <c r="H137" s="7">
        <v>0</v>
      </c>
      <c r="I137" s="7">
        <v>0</v>
      </c>
      <c r="J137" s="7">
        <v>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33000</v>
      </c>
      <c r="K139" s="3" t="s">
        <v>175</v>
      </c>
    </row>
  </sheetData>
  <pageMargins left="0.7" right="0.7" top="0.75" bottom="0.75" header="0.3" footer="0.3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F352-DB81-4960-89FA-9B7188C65384}">
  <dimension ref="A1:K139"/>
  <sheetViews>
    <sheetView topLeftCell="A65" zoomScale="60" zoomScaleNormal="60" workbookViewId="0">
      <selection activeCell="F85" activeCellId="1" sqref="F78 F85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318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9347588.5607955437</v>
      </c>
      <c r="G4" s="17">
        <f t="shared" ref="G4:I4" si="0">SUBTOTAL(9,G9:G118)</f>
        <v>22267577.593989979</v>
      </c>
      <c r="H4" s="17">
        <f t="shared" si="0"/>
        <v>2983427.2610161509</v>
      </c>
      <c r="I4" s="17">
        <f t="shared" si="0"/>
        <v>4711566.9128736481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5" t="s">
        <v>46</v>
      </c>
      <c r="C10" s="58"/>
      <c r="D10" s="76" t="s">
        <v>165</v>
      </c>
      <c r="E10" s="56" t="s">
        <v>169</v>
      </c>
      <c r="F10" s="126" t="s">
        <v>3</v>
      </c>
      <c r="G10" s="127">
        <v>53400</v>
      </c>
      <c r="H10" s="126" t="s">
        <v>3</v>
      </c>
      <c r="I10" s="126" t="s">
        <v>3</v>
      </c>
      <c r="J10" s="34">
        <v>53400</v>
      </c>
      <c r="K10" s="33" t="s">
        <v>289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3164</v>
      </c>
      <c r="H11" s="83">
        <v>0</v>
      </c>
      <c r="I11" s="83">
        <v>0</v>
      </c>
      <c r="J11" s="46">
        <v>3164</v>
      </c>
      <c r="K11" s="45"/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2899</v>
      </c>
      <c r="H12" s="83">
        <v>0</v>
      </c>
      <c r="I12" s="83">
        <v>0</v>
      </c>
      <c r="J12" s="46">
        <v>2899</v>
      </c>
      <c r="K12" s="45"/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127">
        <v>0</v>
      </c>
      <c r="G13" s="127">
        <v>1935</v>
      </c>
      <c r="H13" s="127">
        <v>0</v>
      </c>
      <c r="I13" s="127">
        <v>0</v>
      </c>
      <c r="J13" s="34">
        <v>1935</v>
      </c>
      <c r="K13" s="45" t="s">
        <v>251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83">
        <v>25692</v>
      </c>
      <c r="H14" s="83">
        <v>0</v>
      </c>
      <c r="I14" s="83">
        <v>0</v>
      </c>
      <c r="J14" s="46">
        <v>25692</v>
      </c>
      <c r="K14" s="45"/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83">
        <v>116</v>
      </c>
      <c r="H15" s="83">
        <v>0</v>
      </c>
      <c r="I15" s="83">
        <v>0</v>
      </c>
      <c r="J15" s="46">
        <v>116</v>
      </c>
      <c r="K15" s="45"/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2108</v>
      </c>
      <c r="H16" s="56">
        <v>0</v>
      </c>
      <c r="I16" s="56">
        <v>0</v>
      </c>
      <c r="J16" s="46">
        <v>2108</v>
      </c>
      <c r="K16" s="45"/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28544</v>
      </c>
      <c r="H17" s="56">
        <v>0</v>
      </c>
      <c r="I17" s="56">
        <v>0</v>
      </c>
      <c r="J17" s="46">
        <v>28544</v>
      </c>
      <c r="K17" s="45"/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19481</v>
      </c>
      <c r="G18" s="19">
        <v>42301</v>
      </c>
      <c r="H18" s="19">
        <v>0</v>
      </c>
      <c r="I18" s="19">
        <v>110534</v>
      </c>
      <c r="J18" s="24">
        <v>172316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19966</v>
      </c>
      <c r="H19" s="83">
        <v>0</v>
      </c>
      <c r="I19" s="83">
        <v>0</v>
      </c>
      <c r="J19" s="46">
        <v>19966</v>
      </c>
      <c r="K19" s="45"/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127">
        <v>0</v>
      </c>
      <c r="G20" s="127">
        <v>1683</v>
      </c>
      <c r="H20" s="127">
        <v>0</v>
      </c>
      <c r="I20" s="127">
        <v>0</v>
      </c>
      <c r="J20" s="34">
        <v>1683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33">
        <v>0</v>
      </c>
      <c r="G21" s="33">
        <v>90000</v>
      </c>
      <c r="H21" s="33">
        <v>0</v>
      </c>
      <c r="I21" s="33">
        <v>0</v>
      </c>
      <c r="J21" s="34">
        <v>90000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2417</v>
      </c>
      <c r="H22" s="45">
        <v>0</v>
      </c>
      <c r="I22" s="45">
        <v>0</v>
      </c>
      <c r="J22" s="46">
        <v>2417</v>
      </c>
      <c r="K22" s="45"/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16031.295169999999</v>
      </c>
      <c r="G23" s="22">
        <v>56980.96615</v>
      </c>
      <c r="H23" s="22">
        <v>0</v>
      </c>
      <c r="I23" s="22">
        <v>0</v>
      </c>
      <c r="J23" s="24">
        <v>73012.261320000005</v>
      </c>
      <c r="K23" s="2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1736</v>
      </c>
      <c r="H24" s="45">
        <v>0</v>
      </c>
      <c r="I24" s="45">
        <v>0</v>
      </c>
      <c r="J24" s="46">
        <v>1736</v>
      </c>
      <c r="K24" s="45"/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18551.342000000001</v>
      </c>
      <c r="G25" s="22">
        <v>19733.405999999999</v>
      </c>
      <c r="H25" s="19">
        <v>3048.9050000000002</v>
      </c>
      <c r="I25" s="19">
        <v>123342.06299999999</v>
      </c>
      <c r="J25" s="24">
        <v>164675.71599999999</v>
      </c>
      <c r="K25" s="22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22308</v>
      </c>
      <c r="H26" s="83">
        <v>0</v>
      </c>
      <c r="I26" s="83">
        <v>0</v>
      </c>
      <c r="J26" s="46">
        <v>22308</v>
      </c>
      <c r="K26" s="45"/>
    </row>
    <row r="27" spans="1:11" s="66" customFormat="1" ht="13.9" x14ac:dyDescent="0.4">
      <c r="A27" s="64"/>
      <c r="B27" s="23" t="s">
        <v>106</v>
      </c>
      <c r="C27" s="69" t="s">
        <v>184</v>
      </c>
      <c r="D27" s="69"/>
      <c r="E27" s="23" t="s">
        <v>55</v>
      </c>
      <c r="F27" s="22">
        <v>15000</v>
      </c>
      <c r="G27" s="19">
        <v>166297.47</v>
      </c>
      <c r="H27" s="19">
        <v>2100</v>
      </c>
      <c r="I27" s="19">
        <v>0</v>
      </c>
      <c r="J27" s="24">
        <v>183397.47</v>
      </c>
      <c r="K27" s="80"/>
    </row>
    <row r="28" spans="1:11" s="66" customFormat="1" ht="13.9" x14ac:dyDescent="0.4">
      <c r="A28" s="64"/>
      <c r="B28" s="72" t="s">
        <v>217</v>
      </c>
      <c r="C28" s="76"/>
      <c r="D28" s="71" t="s">
        <v>165</v>
      </c>
      <c r="E28" s="72" t="s">
        <v>169</v>
      </c>
      <c r="F28" s="165" t="s">
        <v>3</v>
      </c>
      <c r="G28" s="165">
        <v>12700</v>
      </c>
      <c r="H28" s="165" t="s">
        <v>3</v>
      </c>
      <c r="I28" s="165" t="s">
        <v>3</v>
      </c>
      <c r="J28" s="34">
        <v>12700</v>
      </c>
      <c r="K28" s="120" t="s">
        <v>251</v>
      </c>
    </row>
    <row r="29" spans="1:11" s="66" customFormat="1" ht="13.9" x14ac:dyDescent="0.4">
      <c r="A29" s="64"/>
      <c r="B29" s="72" t="s">
        <v>197</v>
      </c>
      <c r="C29" s="76"/>
      <c r="D29" s="71" t="s">
        <v>186</v>
      </c>
      <c r="E29" s="72" t="s">
        <v>187</v>
      </c>
      <c r="F29" s="45">
        <v>0</v>
      </c>
      <c r="G29" s="83">
        <v>743</v>
      </c>
      <c r="H29" s="45">
        <v>0</v>
      </c>
      <c r="I29" s="45">
        <v>0</v>
      </c>
      <c r="J29" s="147">
        <v>743</v>
      </c>
      <c r="K29" s="45"/>
    </row>
    <row r="30" spans="1:11" s="66" customFormat="1" ht="13.9" x14ac:dyDescent="0.4">
      <c r="A30" s="64"/>
      <c r="B30" s="72" t="s">
        <v>198</v>
      </c>
      <c r="C30" s="76"/>
      <c r="D30" s="71" t="s">
        <v>186</v>
      </c>
      <c r="E30" s="72" t="s">
        <v>187</v>
      </c>
      <c r="F30" s="45">
        <v>0</v>
      </c>
      <c r="G30" s="83">
        <v>1728</v>
      </c>
      <c r="H30" s="45">
        <v>0</v>
      </c>
      <c r="I30" s="45">
        <v>0</v>
      </c>
      <c r="J30" s="147">
        <v>1728</v>
      </c>
      <c r="K30" s="45"/>
    </row>
    <row r="31" spans="1:11" ht="13.9" x14ac:dyDescent="0.4">
      <c r="A31" s="41"/>
      <c r="B31" s="56" t="s">
        <v>107</v>
      </c>
      <c r="C31" s="76"/>
      <c r="D31" s="76" t="s">
        <v>165</v>
      </c>
      <c r="E31" s="56" t="s">
        <v>56</v>
      </c>
      <c r="F31" s="126" t="s">
        <v>3</v>
      </c>
      <c r="G31" s="127">
        <v>28200</v>
      </c>
      <c r="H31" s="126" t="s">
        <v>3</v>
      </c>
      <c r="I31" s="126" t="s">
        <v>3</v>
      </c>
      <c r="J31" s="34">
        <v>28200</v>
      </c>
      <c r="K31" s="120" t="s">
        <v>273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66"/>
      <c r="G32" s="166"/>
      <c r="H32" s="166"/>
      <c r="I32" s="166"/>
      <c r="J32" s="166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83011.074999999997</v>
      </c>
      <c r="G34" s="22">
        <v>166022.15</v>
      </c>
      <c r="H34" s="22">
        <v>78128.070000000007</v>
      </c>
      <c r="I34" s="22">
        <v>0</v>
      </c>
      <c r="J34" s="24">
        <v>327161.29499999998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312761.84499999997</v>
      </c>
      <c r="G35" s="22">
        <v>1488852.2760000001</v>
      </c>
      <c r="H35" s="22">
        <v>574740.48600000003</v>
      </c>
      <c r="I35" s="22">
        <v>10045.683000000001</v>
      </c>
      <c r="J35" s="24">
        <v>2386400.29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67"/>
      <c r="G36" s="167"/>
      <c r="H36" s="167"/>
      <c r="I36" s="167"/>
      <c r="J36" s="167"/>
      <c r="K36" s="61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44457.925999999999</v>
      </c>
      <c r="G37" s="45">
        <v>209798.50399999999</v>
      </c>
      <c r="H37" s="45">
        <v>0</v>
      </c>
      <c r="I37" s="45">
        <v>0</v>
      </c>
      <c r="J37" s="46">
        <v>254256.43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124</v>
      </c>
      <c r="G38" s="45">
        <v>17336</v>
      </c>
      <c r="H38" s="45">
        <v>0</v>
      </c>
      <c r="I38" s="45">
        <v>0</v>
      </c>
      <c r="J38" s="46">
        <v>17460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71066.808000000005</v>
      </c>
      <c r="G39" s="45">
        <v>1082280.1299999999</v>
      </c>
      <c r="H39" s="45">
        <v>47119.392999999996</v>
      </c>
      <c r="I39" s="45">
        <v>412031.625</v>
      </c>
      <c r="J39" s="46">
        <v>1612497.9559999998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37574.512000000002</v>
      </c>
      <c r="G40" s="45">
        <v>201185.82</v>
      </c>
      <c r="H40" s="45">
        <v>0</v>
      </c>
      <c r="I40" s="45">
        <v>0</v>
      </c>
      <c r="J40" s="46">
        <v>238760.33199999999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10007.501</v>
      </c>
      <c r="G41" s="45">
        <v>109988.33199999999</v>
      </c>
      <c r="H41" s="45">
        <v>0</v>
      </c>
      <c r="I41" s="45">
        <v>9500</v>
      </c>
      <c r="J41" s="46">
        <v>129495.833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2463.395</v>
      </c>
      <c r="G42" s="45">
        <v>21099.396000000001</v>
      </c>
      <c r="H42" s="45">
        <v>0</v>
      </c>
      <c r="I42" s="45">
        <v>0</v>
      </c>
      <c r="J42" s="46">
        <v>23562.791000000001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4157.3040000000001</v>
      </c>
      <c r="G43" s="45">
        <v>25735.385999999999</v>
      </c>
      <c r="H43" s="45">
        <v>0</v>
      </c>
      <c r="I43" s="45">
        <v>0</v>
      </c>
      <c r="J43" s="46">
        <v>29892.69</v>
      </c>
      <c r="K43" s="56" t="s">
        <v>167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43950.834000000003</v>
      </c>
      <c r="G44" s="83">
        <v>75522.55</v>
      </c>
      <c r="H44" s="83">
        <v>0</v>
      </c>
      <c r="I44" s="83">
        <v>4000</v>
      </c>
      <c r="J44" s="46">
        <v>123473.38400000001</v>
      </c>
      <c r="K44" s="56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1158.162</v>
      </c>
      <c r="G45" s="83">
        <v>14861.43</v>
      </c>
      <c r="H45" s="83">
        <v>0</v>
      </c>
      <c r="I45" s="83">
        <v>0</v>
      </c>
      <c r="J45" s="46">
        <v>16019.592000000001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956.81899999999996</v>
      </c>
      <c r="G46" s="83">
        <v>33596.921999999999</v>
      </c>
      <c r="H46" s="83">
        <v>0</v>
      </c>
      <c r="I46" s="83">
        <v>0</v>
      </c>
      <c r="J46" s="46">
        <v>34553.741000000002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1515.6610000000001</v>
      </c>
      <c r="G47" s="83">
        <v>10800.132</v>
      </c>
      <c r="H47" s="83">
        <v>0</v>
      </c>
      <c r="I47" s="83">
        <v>0</v>
      </c>
      <c r="J47" s="46">
        <v>12315.793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410151.66800000001</v>
      </c>
      <c r="G48" s="83">
        <v>643450.91899999999</v>
      </c>
      <c r="H48" s="83">
        <v>0</v>
      </c>
      <c r="I48" s="83">
        <v>345900</v>
      </c>
      <c r="J48" s="46">
        <v>1399502.5870000001</v>
      </c>
      <c r="K48" s="56" t="s">
        <v>307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4772.87</v>
      </c>
      <c r="H49" s="83">
        <v>0</v>
      </c>
      <c r="I49" s="83">
        <v>0</v>
      </c>
      <c r="J49" s="46">
        <v>4772.87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21576.427</v>
      </c>
      <c r="G50" s="83">
        <v>31929.358</v>
      </c>
      <c r="H50" s="83">
        <v>0</v>
      </c>
      <c r="I50" s="83">
        <v>0</v>
      </c>
      <c r="J50" s="46">
        <v>53505.785000000003</v>
      </c>
      <c r="K50" s="56" t="s">
        <v>240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2200</v>
      </c>
      <c r="G51" s="83">
        <v>20262.242999999999</v>
      </c>
      <c r="H51" s="83">
        <v>0</v>
      </c>
      <c r="I51" s="83">
        <v>0</v>
      </c>
      <c r="J51" s="46">
        <v>22462.242999999999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33785.004000000001</v>
      </c>
      <c r="G52" s="83">
        <v>74824.532999999996</v>
      </c>
      <c r="H52" s="83">
        <v>0</v>
      </c>
      <c r="I52" s="83">
        <v>4500</v>
      </c>
      <c r="J52" s="46">
        <v>113109.537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29373.841</v>
      </c>
      <c r="H53" s="83">
        <v>0</v>
      </c>
      <c r="I53" s="83">
        <v>0</v>
      </c>
      <c r="J53" s="46">
        <v>39873.841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154" t="s">
        <v>283</v>
      </c>
      <c r="F54" s="133">
        <v>3000</v>
      </c>
      <c r="G54" s="133">
        <v>31400</v>
      </c>
      <c r="H54" s="133">
        <v>0</v>
      </c>
      <c r="I54" s="133">
        <v>80000</v>
      </c>
      <c r="J54" s="134">
        <v>114400</v>
      </c>
      <c r="K54" s="56" t="s">
        <v>308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67"/>
      <c r="G55" s="167"/>
      <c r="H55" s="167"/>
      <c r="I55" s="167"/>
      <c r="J55" s="167"/>
      <c r="K55" s="61"/>
    </row>
    <row r="56" spans="1:11" ht="13.9" x14ac:dyDescent="0.4">
      <c r="A56" s="39"/>
      <c r="B56" s="23" t="s">
        <v>113</v>
      </c>
      <c r="C56" s="69" t="s">
        <v>184</v>
      </c>
      <c r="D56" s="69"/>
      <c r="E56" s="23" t="s">
        <v>59</v>
      </c>
      <c r="F56" s="22">
        <v>83170.254000000001</v>
      </c>
      <c r="G56" s="22">
        <v>258317.02499999999</v>
      </c>
      <c r="H56" s="22">
        <v>48923.678999999996</v>
      </c>
      <c r="I56" s="22">
        <v>0</v>
      </c>
      <c r="J56" s="24">
        <v>390410.95799999998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1024486.778</v>
      </c>
      <c r="G57" s="22">
        <v>3197845.1690000002</v>
      </c>
      <c r="H57" s="22">
        <v>0</v>
      </c>
      <c r="I57" s="22">
        <v>0</v>
      </c>
      <c r="J57" s="24">
        <v>4222331.9470000006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36587.883999999998</v>
      </c>
      <c r="G58" s="22">
        <v>164671.24400000001</v>
      </c>
      <c r="H58" s="22">
        <v>0</v>
      </c>
      <c r="I58" s="22">
        <v>0</v>
      </c>
      <c r="J58" s="24">
        <v>201259.128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62024.231</v>
      </c>
      <c r="G59" s="22">
        <v>104321.15399999999</v>
      </c>
      <c r="H59" s="22">
        <v>19402.821</v>
      </c>
      <c r="I59" s="22">
        <v>0</v>
      </c>
      <c r="J59" s="24">
        <v>185748.20600000001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167580.37495493301</v>
      </c>
      <c r="G60" s="22">
        <v>442908.35236149502</v>
      </c>
      <c r="H60" s="22">
        <v>13590.7744261507</v>
      </c>
      <c r="I60" s="22">
        <v>76591.783662179994</v>
      </c>
      <c r="J60" s="24">
        <v>700671.28540475864</v>
      </c>
      <c r="K60" s="32"/>
    </row>
    <row r="61" spans="1:11" ht="13.9" x14ac:dyDescent="0.4">
      <c r="A61" s="39"/>
      <c r="B61" s="89" t="s">
        <v>33</v>
      </c>
      <c r="C61" s="53"/>
      <c r="D61" s="53"/>
      <c r="E61" s="56" t="s">
        <v>171</v>
      </c>
      <c r="F61" s="33">
        <v>168349.56345060901</v>
      </c>
      <c r="G61" s="33">
        <v>330266.62717848201</v>
      </c>
      <c r="H61" s="33">
        <v>0</v>
      </c>
      <c r="I61" s="33">
        <v>18647.751721468499</v>
      </c>
      <c r="J61" s="34">
        <v>517263.94235055952</v>
      </c>
      <c r="K61" s="45"/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16686</v>
      </c>
      <c r="G62" s="22">
        <v>69524</v>
      </c>
      <c r="H62" s="22">
        <v>0</v>
      </c>
      <c r="I62" s="22">
        <v>0</v>
      </c>
      <c r="J62" s="24">
        <v>86210</v>
      </c>
      <c r="K62" s="22" t="s">
        <v>309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519363</v>
      </c>
      <c r="G63" s="19">
        <v>1439104</v>
      </c>
      <c r="H63" s="19">
        <v>62785</v>
      </c>
      <c r="I63" s="19">
        <v>142083</v>
      </c>
      <c r="J63" s="24">
        <v>2163335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5590.2520000000004</v>
      </c>
      <c r="G64" s="19">
        <v>60208.781999999999</v>
      </c>
      <c r="H64" s="19">
        <v>1768.259</v>
      </c>
      <c r="I64" s="9">
        <v>0</v>
      </c>
      <c r="J64" s="24">
        <v>67567.293000000005</v>
      </c>
      <c r="K64" s="102"/>
    </row>
    <row r="65" spans="1:11" ht="13.9" x14ac:dyDescent="0.4">
      <c r="A65" s="39"/>
      <c r="B65" s="72" t="s">
        <v>118</v>
      </c>
      <c r="C65" s="71" t="s">
        <v>184</v>
      </c>
      <c r="D65" s="71"/>
      <c r="E65" s="72" t="s">
        <v>205</v>
      </c>
      <c r="F65" s="33">
        <v>700</v>
      </c>
      <c r="G65" s="33">
        <v>19095</v>
      </c>
      <c r="H65" s="33">
        <v>400</v>
      </c>
      <c r="I65" s="33">
        <v>0</v>
      </c>
      <c r="J65" s="34">
        <v>20195</v>
      </c>
      <c r="K65" s="33" t="s">
        <v>251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260362</v>
      </c>
      <c r="G66" s="22">
        <v>310406</v>
      </c>
      <c r="H66" s="22">
        <v>12185</v>
      </c>
      <c r="I66" s="19">
        <v>55804</v>
      </c>
      <c r="J66" s="24">
        <v>638757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52776.553</v>
      </c>
      <c r="G67" s="22">
        <v>128964.54300000001</v>
      </c>
      <c r="H67" s="22">
        <v>0</v>
      </c>
      <c r="I67" s="22">
        <v>111505.569</v>
      </c>
      <c r="J67" s="24">
        <v>293246.66500000004</v>
      </c>
      <c r="K67" s="24"/>
    </row>
    <row r="68" spans="1:11" ht="13.9" x14ac:dyDescent="0.4">
      <c r="A68" s="39"/>
      <c r="B68" s="2" t="s">
        <v>291</v>
      </c>
      <c r="C68" s="13" t="s">
        <v>184</v>
      </c>
      <c r="D68" s="13"/>
      <c r="E68" s="2" t="s">
        <v>292</v>
      </c>
      <c r="F68" s="33">
        <v>316.01530000000002</v>
      </c>
      <c r="G68" s="33">
        <v>1804.5646300000001</v>
      </c>
      <c r="H68" s="33">
        <v>0</v>
      </c>
      <c r="I68" s="33">
        <v>0</v>
      </c>
      <c r="J68" s="34">
        <v>2120.5799299999999</v>
      </c>
      <c r="K68" s="24"/>
    </row>
    <row r="69" spans="1:11" ht="13.9" x14ac:dyDescent="0.4">
      <c r="A69" s="39"/>
      <c r="B69" s="23" t="s">
        <v>120</v>
      </c>
      <c r="C69" s="69" t="s">
        <v>184</v>
      </c>
      <c r="D69" s="69"/>
      <c r="E69" s="23" t="s">
        <v>66</v>
      </c>
      <c r="F69" s="22">
        <v>22240.923999999999</v>
      </c>
      <c r="G69" s="22">
        <v>61027.366999999998</v>
      </c>
      <c r="H69" s="22">
        <v>4159</v>
      </c>
      <c r="I69" s="22">
        <v>0</v>
      </c>
      <c r="J69" s="24">
        <v>87427.290999999997</v>
      </c>
      <c r="K69" s="33"/>
    </row>
    <row r="70" spans="1:11" ht="13.9" x14ac:dyDescent="0.4">
      <c r="A70" s="39"/>
      <c r="B70" s="8" t="s">
        <v>161</v>
      </c>
      <c r="C70" s="38" t="s">
        <v>184</v>
      </c>
      <c r="D70" s="38"/>
      <c r="E70" s="8" t="s">
        <v>160</v>
      </c>
      <c r="F70" s="19">
        <v>13665.702499999999</v>
      </c>
      <c r="G70" s="19">
        <v>40389.90135</v>
      </c>
      <c r="H70" s="19">
        <v>531.40373999999997</v>
      </c>
      <c r="I70" s="19">
        <v>0</v>
      </c>
      <c r="J70" s="24">
        <v>54587.007590000001</v>
      </c>
      <c r="K70" s="120"/>
    </row>
    <row r="71" spans="1:11" ht="13.9" x14ac:dyDescent="0.4">
      <c r="A71" s="39"/>
      <c r="B71" s="91" t="s">
        <v>121</v>
      </c>
      <c r="C71" s="69" t="s">
        <v>184</v>
      </c>
      <c r="D71" s="69"/>
      <c r="E71" s="23" t="s">
        <v>67</v>
      </c>
      <c r="F71" s="169">
        <v>830120</v>
      </c>
      <c r="G71" s="22">
        <v>382910</v>
      </c>
      <c r="H71" s="22" t="s">
        <v>16</v>
      </c>
      <c r="I71" s="9" t="s">
        <v>3</v>
      </c>
      <c r="J71" s="34">
        <v>1213030</v>
      </c>
      <c r="K71" s="22"/>
    </row>
    <row r="72" spans="1:11" ht="13.9" x14ac:dyDescent="0.4">
      <c r="A72" s="39"/>
      <c r="B72" s="72" t="s">
        <v>162</v>
      </c>
      <c r="C72" s="71" t="s">
        <v>238</v>
      </c>
      <c r="D72" s="71"/>
      <c r="E72" s="72" t="s">
        <v>182</v>
      </c>
      <c r="F72" s="45">
        <v>16679</v>
      </c>
      <c r="G72" s="45">
        <v>184096</v>
      </c>
      <c r="H72" s="45">
        <v>0</v>
      </c>
      <c r="I72" s="45">
        <v>0</v>
      </c>
      <c r="J72" s="46">
        <v>200775</v>
      </c>
      <c r="K72" s="45"/>
    </row>
    <row r="73" spans="1:11" ht="13.9" x14ac:dyDescent="0.4">
      <c r="A73" s="39"/>
      <c r="B73" s="72" t="s">
        <v>34</v>
      </c>
      <c r="C73" s="53" t="s">
        <v>238</v>
      </c>
      <c r="D73" s="53"/>
      <c r="E73" s="72" t="s">
        <v>179</v>
      </c>
      <c r="F73" s="127">
        <v>99000</v>
      </c>
      <c r="G73" s="127">
        <v>116000</v>
      </c>
      <c r="H73" s="127">
        <v>0</v>
      </c>
      <c r="I73" s="127">
        <v>0</v>
      </c>
      <c r="J73" s="34">
        <v>215000</v>
      </c>
      <c r="K73" s="45" t="s">
        <v>304</v>
      </c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68"/>
      <c r="G74" s="168"/>
      <c r="H74" s="168"/>
      <c r="I74" s="168"/>
      <c r="J74" s="168"/>
      <c r="K74" s="60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425.988</v>
      </c>
      <c r="G75" s="19">
        <v>612.60599999999999</v>
      </c>
      <c r="H75" s="19">
        <v>232.75299999999999</v>
      </c>
      <c r="I75" s="19">
        <v>0</v>
      </c>
      <c r="J75" s="24">
        <v>1271.347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176755</v>
      </c>
      <c r="H76" s="19">
        <v>0</v>
      </c>
      <c r="I76" s="19">
        <v>0</v>
      </c>
      <c r="J76" s="24">
        <v>176755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26" t="s">
        <v>3</v>
      </c>
      <c r="G77" s="126" t="s">
        <v>3</v>
      </c>
      <c r="H77" s="126" t="s">
        <v>3</v>
      </c>
      <c r="I77" s="126" t="s">
        <v>3</v>
      </c>
      <c r="J77" s="34"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303</v>
      </c>
      <c r="F78" s="22">
        <v>108496.003</v>
      </c>
      <c r="G78" s="22">
        <v>468198.68199999997</v>
      </c>
      <c r="H78" s="22">
        <v>0</v>
      </c>
      <c r="I78" s="22">
        <v>0</v>
      </c>
      <c r="J78" s="24">
        <v>576694.68499999994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33">
        <v>4404.835</v>
      </c>
      <c r="G79" s="33">
        <v>11177.579</v>
      </c>
      <c r="H79" s="33">
        <v>776.52700000000004</v>
      </c>
      <c r="I79" s="33">
        <v>0</v>
      </c>
      <c r="J79" s="34">
        <v>16358.941000000001</v>
      </c>
      <c r="K79" s="120" t="s">
        <v>251</v>
      </c>
    </row>
    <row r="80" spans="1:11" ht="13.9" x14ac:dyDescent="0.4">
      <c r="A80" s="40"/>
      <c r="B80" s="43" t="s">
        <v>124</v>
      </c>
      <c r="C80" s="13" t="s">
        <v>184</v>
      </c>
      <c r="D80" s="13"/>
      <c r="E80" s="2" t="s">
        <v>72</v>
      </c>
      <c r="F80" s="127">
        <v>33073.012000000002</v>
      </c>
      <c r="G80" s="127">
        <v>6312.2790000000005</v>
      </c>
      <c r="H80" s="127">
        <v>8187.4589999999998</v>
      </c>
      <c r="I80" s="127">
        <v>346.97800000000001</v>
      </c>
      <c r="J80" s="34">
        <v>47919.72800000001</v>
      </c>
      <c r="K80" s="102" t="s">
        <v>316</v>
      </c>
    </row>
    <row r="81" spans="1:11" ht="13.9" x14ac:dyDescent="0.4">
      <c r="A81" s="40"/>
      <c r="B81" s="23" t="s">
        <v>125</v>
      </c>
      <c r="C81" s="69" t="s">
        <v>184</v>
      </c>
      <c r="D81" s="69"/>
      <c r="E81" s="23" t="s">
        <v>73</v>
      </c>
      <c r="F81" s="22">
        <v>989.08867999999995</v>
      </c>
      <c r="G81" s="22">
        <v>4371.1971800000001</v>
      </c>
      <c r="H81" s="22">
        <v>0</v>
      </c>
      <c r="I81" s="22">
        <v>0</v>
      </c>
      <c r="J81" s="24">
        <v>5360.28586</v>
      </c>
      <c r="K81" s="31" t="s">
        <v>323</v>
      </c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33">
        <v>500</v>
      </c>
      <c r="G82" s="33">
        <v>25650</v>
      </c>
      <c r="H82" s="33">
        <v>800</v>
      </c>
      <c r="I82" s="33">
        <v>0</v>
      </c>
      <c r="J82" s="34"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57743.303</v>
      </c>
      <c r="H84" s="19">
        <v>0</v>
      </c>
      <c r="I84" s="19">
        <v>0</v>
      </c>
      <c r="J84" s="24">
        <v>57743.303</v>
      </c>
      <c r="K84" s="8" t="s">
        <v>269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427733.38199999998</v>
      </c>
      <c r="G85" s="22">
        <v>840887.82200000004</v>
      </c>
      <c r="H85" s="22">
        <v>0</v>
      </c>
      <c r="I85" s="22">
        <v>0</v>
      </c>
      <c r="J85" s="24">
        <v>1268621.2039999999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160278</v>
      </c>
      <c r="G86" s="22">
        <v>1159448</v>
      </c>
      <c r="H86" s="22">
        <v>0</v>
      </c>
      <c r="I86" s="22">
        <v>0</v>
      </c>
      <c r="J86" s="24">
        <v>1319726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17151.59417</v>
      </c>
      <c r="G87" s="22">
        <v>37278.156459999998</v>
      </c>
      <c r="H87" s="22">
        <v>9763.8112700000001</v>
      </c>
      <c r="I87" s="22">
        <v>0</v>
      </c>
      <c r="J87" s="24">
        <v>64193.561899999993</v>
      </c>
      <c r="K87" s="8" t="s">
        <v>204</v>
      </c>
    </row>
    <row r="88" spans="1:11" ht="13.9" x14ac:dyDescent="0.4">
      <c r="A88" s="40"/>
      <c r="B88" s="72" t="s">
        <v>130</v>
      </c>
      <c r="C88" s="71" t="s">
        <v>238</v>
      </c>
      <c r="D88" s="71"/>
      <c r="E88" s="72" t="s">
        <v>80</v>
      </c>
      <c r="F88" s="126" t="s">
        <v>3</v>
      </c>
      <c r="G88" s="126" t="s">
        <v>3</v>
      </c>
      <c r="H88" s="126" t="s">
        <v>3</v>
      </c>
      <c r="I88" s="126" t="s">
        <v>3</v>
      </c>
      <c r="J88" s="34">
        <v>10925</v>
      </c>
      <c r="K88" s="120" t="s">
        <v>251</v>
      </c>
    </row>
    <row r="89" spans="1:11" ht="13.9" x14ac:dyDescent="0.4">
      <c r="A89" s="40"/>
      <c r="B89" s="72" t="s">
        <v>131</v>
      </c>
      <c r="C89" s="71" t="s">
        <v>238</v>
      </c>
      <c r="D89" s="71"/>
      <c r="E89" s="72" t="s">
        <v>81</v>
      </c>
      <c r="F89" s="33">
        <v>9100</v>
      </c>
      <c r="G89" s="33">
        <v>19000</v>
      </c>
      <c r="H89" s="33">
        <v>0</v>
      </c>
      <c r="I89" s="33">
        <v>0</v>
      </c>
      <c r="J89" s="34">
        <v>28100</v>
      </c>
      <c r="K89" s="120" t="s">
        <v>251</v>
      </c>
    </row>
    <row r="90" spans="1:11" ht="13.9" x14ac:dyDescent="0.4">
      <c r="A90" s="40"/>
      <c r="B90" s="23" t="s">
        <v>19</v>
      </c>
      <c r="C90" s="69" t="s">
        <v>184</v>
      </c>
      <c r="D90" s="69"/>
      <c r="E90" s="23" t="s">
        <v>82</v>
      </c>
      <c r="F90" s="22">
        <v>429813.48</v>
      </c>
      <c r="G90" s="22">
        <v>519572.91399999999</v>
      </c>
      <c r="H90" s="22">
        <v>39943.928</v>
      </c>
      <c r="I90" s="22">
        <v>82970.573000000004</v>
      </c>
      <c r="J90" s="24">
        <v>1072300.895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263000</v>
      </c>
      <c r="G91" s="22">
        <v>402000</v>
      </c>
      <c r="H91" s="22">
        <v>0</v>
      </c>
      <c r="I91" s="19">
        <v>0</v>
      </c>
      <c r="J91" s="24">
        <v>665000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1190600</v>
      </c>
      <c r="G92" s="22">
        <v>35000</v>
      </c>
      <c r="H92" s="22">
        <v>0</v>
      </c>
      <c r="I92" s="19">
        <v>114500</v>
      </c>
      <c r="J92" s="24">
        <v>1340100</v>
      </c>
      <c r="K92" s="101" t="s">
        <v>324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53610</v>
      </c>
      <c r="G93" s="22">
        <v>140940</v>
      </c>
      <c r="H93" s="22">
        <v>10090</v>
      </c>
      <c r="I93" s="22">
        <v>10600</v>
      </c>
      <c r="J93" s="24">
        <v>215240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45">
        <v>17817.47</v>
      </c>
      <c r="G94" s="45">
        <v>33705</v>
      </c>
      <c r="H94" s="83">
        <v>2311</v>
      </c>
      <c r="I94" s="45">
        <v>0</v>
      </c>
      <c r="J94" s="46">
        <v>53833.47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33">
        <v>116800</v>
      </c>
      <c r="G95" s="33">
        <v>0</v>
      </c>
      <c r="H95" s="33">
        <v>0</v>
      </c>
      <c r="I95" s="33">
        <v>0</v>
      </c>
      <c r="J95" s="34">
        <v>116800</v>
      </c>
      <c r="K95" s="120" t="s">
        <v>251</v>
      </c>
    </row>
    <row r="96" spans="1:11" ht="13.9" x14ac:dyDescent="0.4">
      <c r="A96" s="40"/>
      <c r="B96" s="72" t="s">
        <v>24</v>
      </c>
      <c r="C96" s="71" t="s">
        <v>238</v>
      </c>
      <c r="D96" s="71"/>
      <c r="E96" s="72" t="s">
        <v>178</v>
      </c>
      <c r="F96" s="45">
        <v>141600</v>
      </c>
      <c r="G96" s="45">
        <v>445420</v>
      </c>
      <c r="H96" s="45">
        <v>114880</v>
      </c>
      <c r="I96" s="45" t="s">
        <v>3</v>
      </c>
      <c r="J96" s="46">
        <v>701900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34232.57763</v>
      </c>
      <c r="G97" s="22">
        <v>17117.740000000002</v>
      </c>
      <c r="H97" s="22">
        <v>2624.5614599999999</v>
      </c>
      <c r="I97" s="22">
        <v>0</v>
      </c>
      <c r="J97" s="24">
        <v>53974.879090000002</v>
      </c>
      <c r="K97" s="24"/>
    </row>
    <row r="98" spans="1:11" ht="13.9" x14ac:dyDescent="0.4">
      <c r="A98" s="40"/>
      <c r="B98" s="23" t="s">
        <v>136</v>
      </c>
      <c r="C98" s="69" t="s">
        <v>184</v>
      </c>
      <c r="D98" s="69"/>
      <c r="E98" s="23" t="s">
        <v>89</v>
      </c>
      <c r="F98" s="22">
        <v>140915.95783</v>
      </c>
      <c r="G98" s="22">
        <v>294688.92259999999</v>
      </c>
      <c r="H98" s="22">
        <v>17504.749459999999</v>
      </c>
      <c r="I98" s="22">
        <v>0</v>
      </c>
      <c r="J98" s="24">
        <v>453109.62989000004</v>
      </c>
      <c r="K98" s="102"/>
    </row>
    <row r="99" spans="1:11" ht="13.9" x14ac:dyDescent="0.4">
      <c r="A99" s="40"/>
      <c r="B99" s="23" t="s">
        <v>137</v>
      </c>
      <c r="C99" s="69" t="s">
        <v>184</v>
      </c>
      <c r="D99" s="69"/>
      <c r="E99" s="23" t="s">
        <v>90</v>
      </c>
      <c r="F99" s="22">
        <v>47313.466999999997</v>
      </c>
      <c r="G99" s="22">
        <v>160410.408</v>
      </c>
      <c r="H99" s="22">
        <v>0</v>
      </c>
      <c r="I99" s="19">
        <v>0</v>
      </c>
      <c r="J99" s="24">
        <v>207723.875</v>
      </c>
      <c r="K99" s="110"/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278000</v>
      </c>
      <c r="H100" s="19">
        <v>0</v>
      </c>
      <c r="I100" s="19">
        <v>0</v>
      </c>
      <c r="J100" s="24">
        <v>279000</v>
      </c>
      <c r="K100" s="163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133717.321</v>
      </c>
      <c r="G101" s="19">
        <v>222972.25200000001</v>
      </c>
      <c r="H101" s="19">
        <v>15980.855</v>
      </c>
      <c r="I101" s="19">
        <v>0</v>
      </c>
      <c r="J101" s="24">
        <v>372670.42799999996</v>
      </c>
      <c r="K101" s="33"/>
    </row>
    <row r="102" spans="1:11" ht="13.9" x14ac:dyDescent="0.4">
      <c r="A102" s="40"/>
      <c r="B102" s="72" t="s">
        <v>12</v>
      </c>
      <c r="C102" s="71" t="s">
        <v>238</v>
      </c>
      <c r="D102" s="71"/>
      <c r="E102" s="72" t="s">
        <v>93</v>
      </c>
      <c r="F102" s="33">
        <v>1500</v>
      </c>
      <c r="G102" s="33">
        <v>183350</v>
      </c>
      <c r="H102" s="33">
        <v>300</v>
      </c>
      <c r="I102" s="33">
        <v>0</v>
      </c>
      <c r="J102" s="34">
        <v>185150</v>
      </c>
      <c r="K102" s="120" t="s">
        <v>325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604739.83210999996</v>
      </c>
      <c r="G103" s="22">
        <v>1027827.80408</v>
      </c>
      <c r="H103" s="22">
        <v>814942.05766000005</v>
      </c>
      <c r="I103" s="22">
        <v>1696724.1404899999</v>
      </c>
      <c r="J103" s="24">
        <v>4144233.8343399996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840695.44200000004</v>
      </c>
      <c r="G104" s="22">
        <v>2183403.5649999999</v>
      </c>
      <c r="H104" s="22">
        <v>1076206.7679999999</v>
      </c>
      <c r="I104" s="22">
        <v>1301939.746</v>
      </c>
      <c r="J104" s="24">
        <v>5402245.5210000006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68"/>
      <c r="G105" s="168"/>
      <c r="H105" s="168"/>
      <c r="I105" s="168"/>
      <c r="J105" s="168"/>
      <c r="K105" s="60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126" t="s">
        <v>3</v>
      </c>
      <c r="G106" s="127">
        <v>23950</v>
      </c>
      <c r="H106" s="126" t="s">
        <v>3</v>
      </c>
      <c r="I106" s="126" t="s">
        <v>3</v>
      </c>
      <c r="J106" s="34">
        <v>23950</v>
      </c>
      <c r="K106" s="33" t="s">
        <v>305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127">
        <v>3000</v>
      </c>
      <c r="G107" s="127">
        <v>18000</v>
      </c>
      <c r="H107" s="126" t="s">
        <v>3</v>
      </c>
      <c r="I107" s="126" t="s">
        <v>3</v>
      </c>
      <c r="J107" s="34">
        <v>21000</v>
      </c>
      <c r="K107" s="33" t="s">
        <v>251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126" t="s">
        <v>3</v>
      </c>
      <c r="G108" s="127">
        <v>29250</v>
      </c>
      <c r="H108" s="126" t="s">
        <v>3</v>
      </c>
      <c r="I108" s="126" t="s">
        <v>3</v>
      </c>
      <c r="J108" s="34">
        <v>29250</v>
      </c>
      <c r="K108" s="33" t="s">
        <v>306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126" t="s">
        <v>3</v>
      </c>
      <c r="G109" s="127">
        <v>53520</v>
      </c>
      <c r="H109" s="126" t="s">
        <v>3</v>
      </c>
      <c r="I109" s="126" t="s">
        <v>3</v>
      </c>
      <c r="J109" s="34">
        <v>53520</v>
      </c>
      <c r="K109" s="33" t="s">
        <v>305</v>
      </c>
    </row>
    <row r="110" spans="1:11" s="2" customFormat="1" ht="13.9" x14ac:dyDescent="0.4">
      <c r="A110" s="41"/>
      <c r="B110" s="72" t="s">
        <v>97</v>
      </c>
      <c r="C110" s="71" t="s">
        <v>184</v>
      </c>
      <c r="D110" s="71" t="s">
        <v>165</v>
      </c>
      <c r="E110" s="72" t="s">
        <v>96</v>
      </c>
      <c r="F110" s="127">
        <v>0</v>
      </c>
      <c r="G110" s="127">
        <v>37000</v>
      </c>
      <c r="H110" s="127">
        <v>0</v>
      </c>
      <c r="I110" s="127">
        <v>0</v>
      </c>
      <c r="J110" s="34">
        <v>37000</v>
      </c>
      <c r="K110" s="33" t="s">
        <v>251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26">
        <v>2900</v>
      </c>
      <c r="G111" s="127">
        <v>13000</v>
      </c>
      <c r="H111" s="126" t="s">
        <v>3</v>
      </c>
      <c r="I111" s="126" t="s">
        <v>3</v>
      </c>
      <c r="J111" s="34">
        <v>15900</v>
      </c>
      <c r="K111" s="33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126" t="s">
        <v>3</v>
      </c>
      <c r="G112" s="127">
        <v>37030</v>
      </c>
      <c r="H112" s="126" t="s">
        <v>3</v>
      </c>
      <c r="I112" s="126" t="s">
        <v>3</v>
      </c>
      <c r="J112" s="34">
        <v>37030</v>
      </c>
      <c r="K112" s="33" t="s">
        <v>305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126" t="s">
        <v>3</v>
      </c>
      <c r="G113" s="127">
        <v>1940</v>
      </c>
      <c r="H113" s="126" t="s">
        <v>3</v>
      </c>
      <c r="I113" s="126" t="s">
        <v>3</v>
      </c>
      <c r="J113" s="34">
        <v>1940</v>
      </c>
      <c r="K113" s="33" t="s">
        <v>305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26" t="s">
        <v>3</v>
      </c>
      <c r="G114" s="127">
        <v>300000</v>
      </c>
      <c r="H114" s="126" t="s">
        <v>3</v>
      </c>
      <c r="I114" s="126" t="s">
        <v>3</v>
      </c>
      <c r="J114" s="34">
        <v>300000</v>
      </c>
      <c r="K114" s="33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273120</v>
      </c>
      <c r="H115" s="68" t="s">
        <v>3</v>
      </c>
      <c r="I115" s="68" t="s">
        <v>3</v>
      </c>
      <c r="J115" s="46">
        <v>273120</v>
      </c>
      <c r="K115" s="45" t="s">
        <v>251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127">
        <v>19000</v>
      </c>
      <c r="G116" s="127">
        <v>21000</v>
      </c>
      <c r="H116" s="126" t="s">
        <v>3</v>
      </c>
      <c r="I116" s="126" t="s">
        <v>3</v>
      </c>
      <c r="J116" s="34">
        <v>40000</v>
      </c>
      <c r="K116" s="33" t="s">
        <v>251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126" t="s">
        <v>3</v>
      </c>
      <c r="G117" s="127">
        <v>495390</v>
      </c>
      <c r="H117" s="126" t="s">
        <v>3</v>
      </c>
      <c r="I117" s="126" t="s">
        <v>3</v>
      </c>
      <c r="J117" s="34">
        <v>495390</v>
      </c>
      <c r="K117" s="33" t="s">
        <v>305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126" t="s">
        <v>3</v>
      </c>
      <c r="G118" s="127">
        <v>22930</v>
      </c>
      <c r="H118" s="126" t="s">
        <v>3</v>
      </c>
      <c r="I118" s="126" t="s">
        <v>3</v>
      </c>
      <c r="J118" s="34">
        <v>22930</v>
      </c>
      <c r="K118" s="33" t="s">
        <v>251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9347588.5607955437</v>
      </c>
      <c r="G120" s="21">
        <f>SUM(G10:G119)</f>
        <v>22267577.593989979</v>
      </c>
      <c r="H120" s="21">
        <f>SUM(H10:H119)</f>
        <v>2983427.2610161509</v>
      </c>
      <c r="I120" s="21">
        <f>SUM(I10:I119)</f>
        <v>4711566.9128736481</v>
      </c>
      <c r="J120" s="67">
        <f>SUM(J10:J119)</f>
        <v>39340085.328675307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12331015.821811695</v>
      </c>
      <c r="G121" s="8"/>
      <c r="H121" s="8"/>
      <c r="I121" s="35"/>
      <c r="J121" s="22">
        <f>SUM(F120:I120)</f>
        <v>39310160.328675322</v>
      </c>
      <c r="K121" s="1">
        <f>J120-J121</f>
        <v>29924.999999985099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9350581.0607955437</v>
      </c>
      <c r="G123" s="86">
        <f>G120+G129</f>
        <v>22294510.093989979</v>
      </c>
      <c r="H123" s="86">
        <f>H120</f>
        <v>2983427.2610161509</v>
      </c>
      <c r="I123" s="86">
        <f>I120</f>
        <v>4711566.9128736481</v>
      </c>
      <c r="J123" s="86">
        <f>SUM(F123:I123)</f>
        <v>39340085.328675322</v>
      </c>
      <c r="K123" s="6">
        <f>J123-J120</f>
        <v>0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12334008.321811695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0.23768583577473396</v>
      </c>
      <c r="G125" s="29">
        <f>G123/$J123</f>
        <v>0.56671229631877085</v>
      </c>
      <c r="H125" s="29">
        <f>H123/$J123</f>
        <v>7.5836827401121715E-2</v>
      </c>
      <c r="I125" s="29">
        <f>I123/$J123</f>
        <v>0.11976504050537345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2992.5</v>
      </c>
      <c r="G129" s="7">
        <f>0.9*$J139</f>
        <v>26932.5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1">0.1*$J132</f>
        <v>0</v>
      </c>
      <c r="G132" s="7">
        <f t="shared" ref="G132:G137" si="2">0.9*$J132</f>
        <v>0</v>
      </c>
      <c r="H132" s="7">
        <v>0</v>
      </c>
      <c r="I132" s="7">
        <v>0</v>
      </c>
      <c r="J132" s="7"/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1"/>
        <v>0</v>
      </c>
      <c r="G133" s="7">
        <f t="shared" si="2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1"/>
        <v>0</v>
      </c>
      <c r="G134" s="7">
        <f t="shared" si="2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1"/>
        <v>0</v>
      </c>
      <c r="G135" s="7">
        <f t="shared" si="2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>0.1*$J136</f>
        <v>2992.5</v>
      </c>
      <c r="G136" s="7">
        <f t="shared" si="2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1"/>
        <v>0</v>
      </c>
      <c r="G137" s="7">
        <f t="shared" si="2"/>
        <v>0</v>
      </c>
      <c r="H137" s="7">
        <v>0</v>
      </c>
      <c r="I137" s="7">
        <v>0</v>
      </c>
      <c r="J137" s="79"/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29925</v>
      </c>
      <c r="K139" s="3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81D5-E8B2-4E19-8E93-CB056C511433}">
  <dimension ref="B2:K140"/>
  <sheetViews>
    <sheetView showGridLines="0" tabSelected="1" zoomScale="60" zoomScaleNormal="60" workbookViewId="0">
      <selection activeCell="B2" sqref="B2"/>
    </sheetView>
  </sheetViews>
  <sheetFormatPr defaultRowHeight="12.75" x14ac:dyDescent="0.35"/>
  <cols>
    <col min="2" max="2" width="19.46484375" style="213" bestFit="1" customWidth="1"/>
    <col min="3" max="3" width="4.19921875" style="220" bestFit="1" customWidth="1"/>
    <col min="4" max="4" width="11.265625" style="220" customWidth="1"/>
    <col min="5" max="5" width="45.59765625" style="183" bestFit="1" customWidth="1"/>
    <col min="6" max="6" width="13.19921875" style="183" bestFit="1" customWidth="1"/>
    <col min="7" max="7" width="13.33203125" style="183" bestFit="1" customWidth="1"/>
    <col min="8" max="8" width="12.53125" style="183" bestFit="1" customWidth="1"/>
    <col min="9" max="9" width="13.06640625" style="183" bestFit="1" customWidth="1"/>
    <col min="10" max="10" width="14.6640625" style="183" customWidth="1"/>
    <col min="11" max="11" width="61.86328125" customWidth="1"/>
  </cols>
  <sheetData>
    <row r="2" spans="2:11" ht="15" x14ac:dyDescent="0.4">
      <c r="B2" s="10" t="s">
        <v>0</v>
      </c>
      <c r="C2" s="10"/>
    </row>
    <row r="3" spans="2:11" ht="15" x14ac:dyDescent="0.4">
      <c r="B3" s="36" t="s">
        <v>322</v>
      </c>
      <c r="C3" s="36"/>
    </row>
    <row r="4" spans="2:11" ht="15" x14ac:dyDescent="0.4">
      <c r="B4" s="11" t="s">
        <v>1</v>
      </c>
      <c r="C4" s="11"/>
    </row>
    <row r="8" spans="2:11" x14ac:dyDescent="0.35">
      <c r="B8" s="214" t="s">
        <v>51</v>
      </c>
      <c r="C8" s="221" t="s">
        <v>138</v>
      </c>
      <c r="D8" s="206" t="s">
        <v>163</v>
      </c>
      <c r="E8" s="184" t="s">
        <v>11</v>
      </c>
      <c r="F8" s="185" t="s">
        <v>14</v>
      </c>
      <c r="G8" s="185" t="s">
        <v>7</v>
      </c>
      <c r="H8" s="185" t="s">
        <v>8</v>
      </c>
      <c r="I8" s="185" t="s">
        <v>140</v>
      </c>
      <c r="J8" s="185" t="s">
        <v>4</v>
      </c>
    </row>
    <row r="9" spans="2:11" x14ac:dyDescent="0.35">
      <c r="B9" s="230" t="s">
        <v>49</v>
      </c>
      <c r="C9" s="228"/>
      <c r="D9" s="228"/>
      <c r="E9" s="227"/>
      <c r="F9" s="229"/>
      <c r="G9" s="229"/>
      <c r="H9" s="229"/>
      <c r="I9" s="229"/>
      <c r="J9" s="229"/>
    </row>
    <row r="10" spans="2:11" ht="13.5" x14ac:dyDescent="0.35">
      <c r="B10" s="194" t="s">
        <v>46</v>
      </c>
      <c r="C10" s="207"/>
      <c r="D10" s="207" t="s">
        <v>165</v>
      </c>
      <c r="E10" s="186" t="s">
        <v>169</v>
      </c>
      <c r="F10" s="187" t="s">
        <v>3</v>
      </c>
      <c r="G10" s="188">
        <v>62</v>
      </c>
      <c r="H10" s="187" t="s">
        <v>3</v>
      </c>
      <c r="I10" s="187" t="s">
        <v>3</v>
      </c>
      <c r="J10" s="189">
        <v>62</v>
      </c>
      <c r="K10" s="178"/>
    </row>
    <row r="11" spans="2:11" ht="13.5" x14ac:dyDescent="0.35">
      <c r="B11" s="194" t="s">
        <v>185</v>
      </c>
      <c r="C11" s="207"/>
      <c r="D11" s="207" t="s">
        <v>186</v>
      </c>
      <c r="E11" s="186" t="s">
        <v>187</v>
      </c>
      <c r="F11" s="188">
        <v>0</v>
      </c>
      <c r="G11" s="188">
        <v>3164</v>
      </c>
      <c r="H11" s="188">
        <v>0</v>
      </c>
      <c r="I11" s="188">
        <v>0</v>
      </c>
      <c r="J11" s="190">
        <v>3164</v>
      </c>
      <c r="K11" s="178"/>
    </row>
    <row r="12" spans="2:11" ht="13.5" x14ac:dyDescent="0.35">
      <c r="B12" s="194" t="s">
        <v>188</v>
      </c>
      <c r="C12" s="207"/>
      <c r="D12" s="207" t="s">
        <v>186</v>
      </c>
      <c r="E12" s="186" t="s">
        <v>187</v>
      </c>
      <c r="F12" s="188">
        <v>0</v>
      </c>
      <c r="G12" s="188">
        <v>2899</v>
      </c>
      <c r="H12" s="188">
        <v>0</v>
      </c>
      <c r="I12" s="188">
        <v>0</v>
      </c>
      <c r="J12" s="190">
        <v>2899</v>
      </c>
      <c r="K12" s="178"/>
    </row>
    <row r="13" spans="2:11" ht="13.5" x14ac:dyDescent="0.35">
      <c r="B13" s="194" t="s">
        <v>189</v>
      </c>
      <c r="C13" s="207"/>
      <c r="D13" s="207" t="s">
        <v>186</v>
      </c>
      <c r="E13" s="186" t="s">
        <v>187</v>
      </c>
      <c r="F13" s="188">
        <v>0</v>
      </c>
      <c r="G13" s="188">
        <v>1935</v>
      </c>
      <c r="H13" s="188">
        <v>0</v>
      </c>
      <c r="I13" s="188">
        <v>0</v>
      </c>
      <c r="J13" s="190">
        <v>1935</v>
      </c>
      <c r="K13" s="178"/>
    </row>
    <row r="14" spans="2:11" ht="13.5" x14ac:dyDescent="0.35">
      <c r="B14" s="194" t="s">
        <v>190</v>
      </c>
      <c r="C14" s="207"/>
      <c r="D14" s="207" t="s">
        <v>186</v>
      </c>
      <c r="E14" s="186" t="s">
        <v>187</v>
      </c>
      <c r="F14" s="188">
        <v>0</v>
      </c>
      <c r="G14" s="188">
        <v>25692</v>
      </c>
      <c r="H14" s="188">
        <v>0</v>
      </c>
      <c r="I14" s="188">
        <v>0</v>
      </c>
      <c r="J14" s="190">
        <v>25692</v>
      </c>
      <c r="K14" s="178"/>
    </row>
    <row r="15" spans="2:11" ht="13.5" x14ac:dyDescent="0.35">
      <c r="B15" s="194" t="s">
        <v>191</v>
      </c>
      <c r="C15" s="207"/>
      <c r="D15" s="207" t="s">
        <v>186</v>
      </c>
      <c r="E15" s="186" t="s">
        <v>187</v>
      </c>
      <c r="F15" s="188">
        <v>0</v>
      </c>
      <c r="G15" s="188">
        <v>116</v>
      </c>
      <c r="H15" s="188">
        <v>0</v>
      </c>
      <c r="I15" s="188">
        <v>0</v>
      </c>
      <c r="J15" s="190">
        <v>116</v>
      </c>
      <c r="K15" s="178"/>
    </row>
    <row r="16" spans="2:11" ht="13.5" x14ac:dyDescent="0.35">
      <c r="B16" s="194" t="s">
        <v>103</v>
      </c>
      <c r="C16" s="207"/>
      <c r="D16" s="207" t="s">
        <v>186</v>
      </c>
      <c r="E16" s="186" t="s">
        <v>187</v>
      </c>
      <c r="F16" s="186">
        <v>0</v>
      </c>
      <c r="G16" s="188">
        <v>2108</v>
      </c>
      <c r="H16" s="186">
        <v>0</v>
      </c>
      <c r="I16" s="186">
        <v>0</v>
      </c>
      <c r="J16" s="190">
        <v>2108</v>
      </c>
      <c r="K16" s="178"/>
    </row>
    <row r="17" spans="2:11" ht="13.5" x14ac:dyDescent="0.35">
      <c r="B17" s="194" t="s">
        <v>192</v>
      </c>
      <c r="C17" s="207"/>
      <c r="D17" s="207" t="s">
        <v>186</v>
      </c>
      <c r="E17" s="186" t="s">
        <v>187</v>
      </c>
      <c r="F17" s="186">
        <v>0</v>
      </c>
      <c r="G17" s="188">
        <v>28544</v>
      </c>
      <c r="H17" s="186">
        <v>0</v>
      </c>
      <c r="I17" s="186">
        <v>0</v>
      </c>
      <c r="J17" s="190">
        <v>28544</v>
      </c>
      <c r="K17" s="178"/>
    </row>
    <row r="18" spans="2:11" ht="13.9" x14ac:dyDescent="0.4">
      <c r="B18" s="192" t="s">
        <v>104</v>
      </c>
      <c r="C18" s="222" t="s">
        <v>184</v>
      </c>
      <c r="D18" s="222"/>
      <c r="E18" s="191" t="s">
        <v>52</v>
      </c>
      <c r="F18" s="188">
        <v>18460</v>
      </c>
      <c r="G18" s="188">
        <v>34957</v>
      </c>
      <c r="H18" s="188">
        <v>0</v>
      </c>
      <c r="I18" s="188">
        <v>108621</v>
      </c>
      <c r="J18" s="190">
        <v>162038</v>
      </c>
      <c r="K18" s="174"/>
    </row>
    <row r="19" spans="2:11" ht="13.5" x14ac:dyDescent="0.35">
      <c r="B19" s="192" t="s">
        <v>193</v>
      </c>
      <c r="C19" s="222"/>
      <c r="D19" s="222" t="s">
        <v>186</v>
      </c>
      <c r="E19" s="191" t="s">
        <v>187</v>
      </c>
      <c r="F19" s="188">
        <v>0</v>
      </c>
      <c r="G19" s="188">
        <v>19966</v>
      </c>
      <c r="H19" s="188">
        <v>0</v>
      </c>
      <c r="I19" s="188">
        <v>0</v>
      </c>
      <c r="J19" s="190">
        <v>19966</v>
      </c>
      <c r="K19" s="178"/>
    </row>
    <row r="20" spans="2:11" ht="13.5" x14ac:dyDescent="0.35">
      <c r="B20" s="192" t="s">
        <v>210</v>
      </c>
      <c r="C20" s="222"/>
      <c r="D20" s="222" t="s">
        <v>186</v>
      </c>
      <c r="E20" s="191" t="s">
        <v>187</v>
      </c>
      <c r="F20" s="188">
        <v>0</v>
      </c>
      <c r="G20" s="188">
        <v>1683</v>
      </c>
      <c r="H20" s="188">
        <v>0</v>
      </c>
      <c r="I20" s="188">
        <v>0</v>
      </c>
      <c r="J20" s="190">
        <v>1683</v>
      </c>
      <c r="K20" s="178"/>
    </row>
    <row r="21" spans="2:11" ht="13.5" x14ac:dyDescent="0.35">
      <c r="B21" s="192" t="s">
        <v>158</v>
      </c>
      <c r="C21" s="222"/>
      <c r="D21" s="223"/>
      <c r="E21" s="191" t="s">
        <v>159</v>
      </c>
      <c r="F21" s="193">
        <v>0</v>
      </c>
      <c r="G21" s="193">
        <v>22071.623173600001</v>
      </c>
      <c r="H21" s="193">
        <v>0</v>
      </c>
      <c r="I21" s="193">
        <v>0</v>
      </c>
      <c r="J21" s="190">
        <v>85000</v>
      </c>
      <c r="K21" s="261"/>
    </row>
    <row r="22" spans="2:11" ht="13.5" x14ac:dyDescent="0.35">
      <c r="B22" s="192" t="s">
        <v>194</v>
      </c>
      <c r="C22" s="222"/>
      <c r="D22" s="222" t="s">
        <v>186</v>
      </c>
      <c r="E22" s="191" t="s">
        <v>187</v>
      </c>
      <c r="F22" s="193">
        <v>0</v>
      </c>
      <c r="G22" s="188">
        <v>2417</v>
      </c>
      <c r="H22" s="193">
        <v>0</v>
      </c>
      <c r="I22" s="193">
        <v>0</v>
      </c>
      <c r="J22" s="190">
        <v>2417</v>
      </c>
      <c r="K22" s="178"/>
    </row>
    <row r="23" spans="2:11" ht="13.9" x14ac:dyDescent="0.4">
      <c r="B23" s="192" t="s">
        <v>105</v>
      </c>
      <c r="C23" s="222" t="s">
        <v>184</v>
      </c>
      <c r="D23" s="222" t="s">
        <v>165</v>
      </c>
      <c r="E23" s="191" t="s">
        <v>53</v>
      </c>
      <c r="F23" s="193">
        <v>16766</v>
      </c>
      <c r="G23" s="193">
        <v>52966</v>
      </c>
      <c r="H23" s="193">
        <v>0</v>
      </c>
      <c r="I23" s="193">
        <v>0</v>
      </c>
      <c r="J23" s="190">
        <v>69732</v>
      </c>
      <c r="K23" s="174"/>
    </row>
    <row r="24" spans="2:11" ht="13.5" x14ac:dyDescent="0.35">
      <c r="B24" s="192" t="s">
        <v>195</v>
      </c>
      <c r="C24" s="222"/>
      <c r="D24" s="222" t="s">
        <v>186</v>
      </c>
      <c r="E24" s="191" t="s">
        <v>187</v>
      </c>
      <c r="F24" s="193">
        <v>0</v>
      </c>
      <c r="G24" s="188">
        <v>1736</v>
      </c>
      <c r="H24" s="193">
        <v>0</v>
      </c>
      <c r="I24" s="193">
        <v>0</v>
      </c>
      <c r="J24" s="190">
        <v>1736</v>
      </c>
      <c r="K24" s="178"/>
    </row>
    <row r="25" spans="2:11" ht="13.5" x14ac:dyDescent="0.35">
      <c r="B25" s="194" t="s">
        <v>6</v>
      </c>
      <c r="C25" s="207" t="s">
        <v>184</v>
      </c>
      <c r="D25" s="207"/>
      <c r="E25" s="186" t="s">
        <v>54</v>
      </c>
      <c r="F25" s="193">
        <v>11408.811</v>
      </c>
      <c r="G25" s="193">
        <v>12133.636</v>
      </c>
      <c r="H25" s="188">
        <v>1874.704</v>
      </c>
      <c r="I25" s="188">
        <v>75840.315000000002</v>
      </c>
      <c r="J25" s="190">
        <v>101257.466</v>
      </c>
      <c r="K25" s="175"/>
    </row>
    <row r="26" spans="2:11" ht="13.5" x14ac:dyDescent="0.35">
      <c r="B26" s="194" t="s">
        <v>196</v>
      </c>
      <c r="C26" s="207"/>
      <c r="D26" s="207" t="s">
        <v>186</v>
      </c>
      <c r="E26" s="186" t="s">
        <v>187</v>
      </c>
      <c r="F26" s="193">
        <v>0</v>
      </c>
      <c r="G26" s="188">
        <v>22308</v>
      </c>
      <c r="H26" s="188">
        <v>0</v>
      </c>
      <c r="I26" s="188">
        <v>0</v>
      </c>
      <c r="J26" s="190">
        <v>22308</v>
      </c>
      <c r="K26" s="178"/>
    </row>
    <row r="27" spans="2:11" ht="13.9" x14ac:dyDescent="0.4">
      <c r="B27" s="192" t="s">
        <v>106</v>
      </c>
      <c r="C27" s="222" t="s">
        <v>184</v>
      </c>
      <c r="D27" s="222"/>
      <c r="E27" s="191" t="s">
        <v>55</v>
      </c>
      <c r="F27" s="193">
        <v>15750</v>
      </c>
      <c r="G27" s="188">
        <v>174612.34400000001</v>
      </c>
      <c r="H27" s="188">
        <v>2205</v>
      </c>
      <c r="I27" s="188">
        <v>0</v>
      </c>
      <c r="J27" s="190">
        <v>192567.34400000001</v>
      </c>
      <c r="K27" s="262"/>
    </row>
    <row r="28" spans="2:11" ht="13.5" x14ac:dyDescent="0.35">
      <c r="B28" s="192" t="s">
        <v>217</v>
      </c>
      <c r="C28" s="207"/>
      <c r="D28" s="222" t="s">
        <v>165</v>
      </c>
      <c r="E28" s="191" t="s">
        <v>169</v>
      </c>
      <c r="F28" s="195" t="s">
        <v>3</v>
      </c>
      <c r="G28" s="195">
        <v>13000</v>
      </c>
      <c r="H28" s="195" t="s">
        <v>3</v>
      </c>
      <c r="I28" s="195" t="s">
        <v>3</v>
      </c>
      <c r="J28" s="190">
        <v>13000</v>
      </c>
      <c r="K28" s="178"/>
    </row>
    <row r="29" spans="2:11" ht="13.5" x14ac:dyDescent="0.35">
      <c r="B29" s="192" t="s">
        <v>197</v>
      </c>
      <c r="C29" s="207"/>
      <c r="D29" s="222" t="s">
        <v>186</v>
      </c>
      <c r="E29" s="191" t="s">
        <v>187</v>
      </c>
      <c r="F29" s="193">
        <v>0</v>
      </c>
      <c r="G29" s="188">
        <v>743</v>
      </c>
      <c r="H29" s="193">
        <v>0</v>
      </c>
      <c r="I29" s="193">
        <v>0</v>
      </c>
      <c r="J29" s="196">
        <v>743</v>
      </c>
      <c r="K29" s="178"/>
    </row>
    <row r="30" spans="2:11" ht="13.5" x14ac:dyDescent="0.35">
      <c r="B30" s="192" t="s">
        <v>198</v>
      </c>
      <c r="C30" s="207"/>
      <c r="D30" s="222" t="s">
        <v>186</v>
      </c>
      <c r="E30" s="191" t="s">
        <v>187</v>
      </c>
      <c r="F30" s="193">
        <v>0</v>
      </c>
      <c r="G30" s="188">
        <v>1728</v>
      </c>
      <c r="H30" s="193">
        <v>0</v>
      </c>
      <c r="I30" s="193">
        <v>0</v>
      </c>
      <c r="J30" s="196">
        <v>1728</v>
      </c>
      <c r="K30" s="178"/>
    </row>
    <row r="31" spans="2:11" ht="13.5" x14ac:dyDescent="0.35">
      <c r="B31" s="194" t="s">
        <v>107</v>
      </c>
      <c r="C31" s="207"/>
      <c r="D31" s="207" t="s">
        <v>165</v>
      </c>
      <c r="E31" s="186" t="s">
        <v>56</v>
      </c>
      <c r="F31" s="187" t="s">
        <v>3</v>
      </c>
      <c r="G31" s="188">
        <v>35000</v>
      </c>
      <c r="H31" s="187" t="s">
        <v>3</v>
      </c>
      <c r="I31" s="187" t="s">
        <v>3</v>
      </c>
      <c r="J31" s="190">
        <v>35000</v>
      </c>
      <c r="K31" s="178"/>
    </row>
    <row r="32" spans="2:11" ht="17.649999999999999" x14ac:dyDescent="0.5">
      <c r="B32" s="231" t="s">
        <v>47</v>
      </c>
      <c r="C32" s="232"/>
      <c r="D32" s="232"/>
      <c r="E32" s="231"/>
      <c r="F32" s="231"/>
      <c r="G32" s="231"/>
      <c r="H32" s="231"/>
      <c r="I32" s="231"/>
      <c r="J32" s="231"/>
      <c r="K32" s="263"/>
    </row>
    <row r="33" spans="2:11" ht="13.5" x14ac:dyDescent="0.35">
      <c r="B33" s="212" t="s">
        <v>108</v>
      </c>
      <c r="C33" s="207" t="s">
        <v>184</v>
      </c>
      <c r="D33" s="207"/>
      <c r="E33" s="186" t="s">
        <v>57</v>
      </c>
      <c r="F33" s="186">
        <v>0</v>
      </c>
      <c r="G33" s="186">
        <v>0</v>
      </c>
      <c r="H33" s="186">
        <v>0</v>
      </c>
      <c r="I33" s="186">
        <v>0</v>
      </c>
      <c r="J33" s="190">
        <v>0</v>
      </c>
      <c r="K33" s="175" t="s">
        <v>282</v>
      </c>
    </row>
    <row r="34" spans="2:11" ht="13.9" x14ac:dyDescent="0.4">
      <c r="B34" s="192" t="s">
        <v>109</v>
      </c>
      <c r="C34" s="222" t="s">
        <v>184</v>
      </c>
      <c r="D34" s="222"/>
      <c r="E34" s="191" t="s">
        <v>58</v>
      </c>
      <c r="F34" s="193">
        <v>89457.19</v>
      </c>
      <c r="G34" s="193">
        <v>178914.38</v>
      </c>
      <c r="H34" s="193">
        <v>84195.001999999993</v>
      </c>
      <c r="I34" s="193">
        <v>0</v>
      </c>
      <c r="J34" s="190">
        <v>352566.57199999999</v>
      </c>
      <c r="K34" s="264"/>
    </row>
    <row r="35" spans="2:11" ht="13.5" x14ac:dyDescent="0.35">
      <c r="B35" s="192" t="s">
        <v>110</v>
      </c>
      <c r="C35" s="222" t="s">
        <v>184</v>
      </c>
      <c r="D35" s="222"/>
      <c r="E35" s="191" t="s">
        <v>111</v>
      </c>
      <c r="F35" s="193">
        <v>345841.70500000002</v>
      </c>
      <c r="G35" s="193">
        <v>1558256.8430000001</v>
      </c>
      <c r="H35" s="193">
        <v>801366.375</v>
      </c>
      <c r="I35" s="193">
        <v>35021.1</v>
      </c>
      <c r="J35" s="190">
        <v>2740486.0230000005</v>
      </c>
      <c r="K35" s="172"/>
    </row>
    <row r="36" spans="2:11" ht="17.649999999999999" x14ac:dyDescent="0.5">
      <c r="B36" s="235" t="s">
        <v>48</v>
      </c>
      <c r="C36" s="234"/>
      <c r="D36" s="234"/>
      <c r="E36" s="233"/>
      <c r="F36" s="233"/>
      <c r="G36" s="233"/>
      <c r="H36" s="233"/>
      <c r="I36" s="233"/>
      <c r="J36" s="233"/>
      <c r="K36" s="265"/>
    </row>
    <row r="37" spans="2:11" ht="13.5" x14ac:dyDescent="0.35">
      <c r="B37" s="192" t="s">
        <v>141</v>
      </c>
      <c r="C37" s="222"/>
      <c r="D37" s="222" t="s">
        <v>164</v>
      </c>
      <c r="E37" s="191" t="s">
        <v>152</v>
      </c>
      <c r="F37" s="193">
        <v>37007.699999999997</v>
      </c>
      <c r="G37" s="193">
        <v>168767.91800000001</v>
      </c>
      <c r="H37" s="193">
        <v>0</v>
      </c>
      <c r="I37" s="193">
        <v>0</v>
      </c>
      <c r="J37" s="190">
        <v>205775.61800000002</v>
      </c>
      <c r="K37" s="177" t="s">
        <v>167</v>
      </c>
    </row>
    <row r="38" spans="2:11" ht="13.5" x14ac:dyDescent="0.35">
      <c r="B38" s="192" t="s">
        <v>142</v>
      </c>
      <c r="C38" s="222"/>
      <c r="D38" s="222" t="s">
        <v>164</v>
      </c>
      <c r="E38" s="191" t="s">
        <v>152</v>
      </c>
      <c r="F38" s="193">
        <v>240</v>
      </c>
      <c r="G38" s="193">
        <v>15914</v>
      </c>
      <c r="H38" s="193">
        <v>0</v>
      </c>
      <c r="I38" s="193">
        <v>0</v>
      </c>
      <c r="J38" s="190">
        <v>16154</v>
      </c>
      <c r="K38" s="177" t="s">
        <v>167</v>
      </c>
    </row>
    <row r="39" spans="2:11" ht="13.5" x14ac:dyDescent="0.35">
      <c r="B39" s="194" t="s">
        <v>139</v>
      </c>
      <c r="C39" s="207"/>
      <c r="D39" s="222" t="s">
        <v>164</v>
      </c>
      <c r="E39" s="191" t="s">
        <v>152</v>
      </c>
      <c r="F39" s="193">
        <v>74587.334000000003</v>
      </c>
      <c r="G39" s="197">
        <v>1056127.57</v>
      </c>
      <c r="H39" s="193">
        <v>50674.574999999997</v>
      </c>
      <c r="I39" s="193">
        <v>351796.65600000002</v>
      </c>
      <c r="J39" s="190">
        <v>1533186.135</v>
      </c>
      <c r="K39" s="177" t="s">
        <v>167</v>
      </c>
    </row>
    <row r="40" spans="2:11" ht="13.5" x14ac:dyDescent="0.35">
      <c r="B40" s="194" t="s">
        <v>143</v>
      </c>
      <c r="C40" s="207"/>
      <c r="D40" s="222" t="s">
        <v>164</v>
      </c>
      <c r="E40" s="191" t="s">
        <v>152</v>
      </c>
      <c r="F40" s="193">
        <v>43985.673944244198</v>
      </c>
      <c r="G40" s="193">
        <v>181264.53474878101</v>
      </c>
      <c r="H40" s="193">
        <v>0</v>
      </c>
      <c r="I40" s="193">
        <v>0</v>
      </c>
      <c r="J40" s="190">
        <v>225250.2086930252</v>
      </c>
      <c r="K40" s="177" t="s">
        <v>167</v>
      </c>
    </row>
    <row r="41" spans="2:11" ht="13.5" x14ac:dyDescent="0.35">
      <c r="B41" s="194" t="s">
        <v>144</v>
      </c>
      <c r="C41" s="207"/>
      <c r="D41" s="222" t="s">
        <v>164</v>
      </c>
      <c r="E41" s="191" t="s">
        <v>152</v>
      </c>
      <c r="F41" s="193">
        <v>13150.401</v>
      </c>
      <c r="G41" s="193">
        <v>114394.107</v>
      </c>
      <c r="H41" s="193">
        <v>0</v>
      </c>
      <c r="I41" s="193">
        <v>9500</v>
      </c>
      <c r="J41" s="190">
        <v>137044.508</v>
      </c>
      <c r="K41" s="177" t="s">
        <v>209</v>
      </c>
    </row>
    <row r="42" spans="2:11" ht="13.5" x14ac:dyDescent="0.35">
      <c r="B42" s="194" t="s">
        <v>145</v>
      </c>
      <c r="C42" s="207"/>
      <c r="D42" s="222" t="s">
        <v>164</v>
      </c>
      <c r="E42" s="191" t="s">
        <v>152</v>
      </c>
      <c r="F42" s="193">
        <v>3505.933</v>
      </c>
      <c r="G42" s="193">
        <v>24003.025000000001</v>
      </c>
      <c r="H42" s="193">
        <v>0</v>
      </c>
      <c r="I42" s="193">
        <v>0</v>
      </c>
      <c r="J42" s="190">
        <v>27508.958000000002</v>
      </c>
      <c r="K42" s="177" t="s">
        <v>167</v>
      </c>
    </row>
    <row r="43" spans="2:11" ht="13.5" x14ac:dyDescent="0.35">
      <c r="B43" s="194" t="s">
        <v>146</v>
      </c>
      <c r="C43" s="207"/>
      <c r="D43" s="222" t="s">
        <v>164</v>
      </c>
      <c r="E43" s="191" t="s">
        <v>152</v>
      </c>
      <c r="F43" s="193">
        <v>15761.683000000001</v>
      </c>
      <c r="G43" s="193">
        <v>23905.511999999999</v>
      </c>
      <c r="H43" s="193">
        <v>0</v>
      </c>
      <c r="I43" s="193">
        <v>0</v>
      </c>
      <c r="J43" s="190">
        <v>39667.195</v>
      </c>
      <c r="K43" s="177" t="s">
        <v>167</v>
      </c>
    </row>
    <row r="44" spans="2:11" ht="13.5" x14ac:dyDescent="0.35">
      <c r="B44" s="192" t="s">
        <v>112</v>
      </c>
      <c r="C44" s="222"/>
      <c r="D44" s="222" t="s">
        <v>164</v>
      </c>
      <c r="E44" s="191" t="s">
        <v>152</v>
      </c>
      <c r="F44" s="188">
        <v>43317.794000000002</v>
      </c>
      <c r="G44" s="188">
        <v>74203.270999999993</v>
      </c>
      <c r="H44" s="188">
        <v>0</v>
      </c>
      <c r="I44" s="188">
        <v>4000</v>
      </c>
      <c r="J44" s="190">
        <v>121521.065</v>
      </c>
      <c r="K44" s="177" t="s">
        <v>209</v>
      </c>
    </row>
    <row r="45" spans="2:11" ht="13.5" x14ac:dyDescent="0.35">
      <c r="B45" s="192" t="s">
        <v>147</v>
      </c>
      <c r="C45" s="222"/>
      <c r="D45" s="222" t="s">
        <v>164</v>
      </c>
      <c r="E45" s="191" t="s">
        <v>152</v>
      </c>
      <c r="F45" s="188">
        <v>1452.2170000000001</v>
      </c>
      <c r="G45" s="188">
        <v>16037.764999999999</v>
      </c>
      <c r="H45" s="188">
        <v>0</v>
      </c>
      <c r="I45" s="188">
        <v>0</v>
      </c>
      <c r="J45" s="190">
        <v>17489.982</v>
      </c>
      <c r="K45" s="177" t="s">
        <v>208</v>
      </c>
    </row>
    <row r="46" spans="2:11" ht="13.5" x14ac:dyDescent="0.35">
      <c r="B46" s="192" t="s">
        <v>148</v>
      </c>
      <c r="C46" s="222"/>
      <c r="D46" s="222" t="s">
        <v>164</v>
      </c>
      <c r="E46" s="191" t="s">
        <v>152</v>
      </c>
      <c r="F46" s="188">
        <v>1455.3489999999999</v>
      </c>
      <c r="G46" s="188">
        <v>36673.58</v>
      </c>
      <c r="H46" s="188">
        <v>0</v>
      </c>
      <c r="I46" s="188">
        <v>0</v>
      </c>
      <c r="J46" s="190">
        <v>38128.929000000004</v>
      </c>
      <c r="K46" s="177" t="s">
        <v>167</v>
      </c>
    </row>
    <row r="47" spans="2:11" ht="13.5" x14ac:dyDescent="0.35">
      <c r="B47" s="192" t="s">
        <v>149</v>
      </c>
      <c r="C47" s="222"/>
      <c r="D47" s="222" t="s">
        <v>164</v>
      </c>
      <c r="E47" s="191" t="s">
        <v>152</v>
      </c>
      <c r="F47" s="188">
        <v>1133.309</v>
      </c>
      <c r="G47" s="188">
        <v>10903.281999999999</v>
      </c>
      <c r="H47" s="188">
        <v>0</v>
      </c>
      <c r="I47" s="188">
        <v>0</v>
      </c>
      <c r="J47" s="190">
        <v>12036.590999999999</v>
      </c>
      <c r="K47" s="177" t="s">
        <v>167</v>
      </c>
    </row>
    <row r="48" spans="2:11" ht="13.5" x14ac:dyDescent="0.35">
      <c r="B48" s="192" t="s">
        <v>150</v>
      </c>
      <c r="C48" s="222"/>
      <c r="D48" s="222" t="s">
        <v>164</v>
      </c>
      <c r="E48" s="191" t="s">
        <v>152</v>
      </c>
      <c r="F48" s="198">
        <v>351075.56300000002</v>
      </c>
      <c r="G48" s="188">
        <v>645025.98300000001</v>
      </c>
      <c r="H48" s="188">
        <v>0</v>
      </c>
      <c r="I48" s="188">
        <v>345900</v>
      </c>
      <c r="J48" s="190">
        <v>1342001.5460000001</v>
      </c>
      <c r="K48" s="177" t="s">
        <v>307</v>
      </c>
    </row>
    <row r="49" spans="2:11" ht="13.5" x14ac:dyDescent="0.35">
      <c r="B49" s="192" t="s">
        <v>151</v>
      </c>
      <c r="C49" s="222"/>
      <c r="D49" s="222" t="s">
        <v>164</v>
      </c>
      <c r="E49" s="191" t="s">
        <v>152</v>
      </c>
      <c r="F49" s="188">
        <v>0</v>
      </c>
      <c r="G49" s="188">
        <v>5484.5839999999998</v>
      </c>
      <c r="H49" s="188">
        <v>0</v>
      </c>
      <c r="I49" s="188">
        <v>0</v>
      </c>
      <c r="J49" s="190">
        <v>5484.5839999999998</v>
      </c>
      <c r="K49" s="177" t="s">
        <v>167</v>
      </c>
    </row>
    <row r="50" spans="2:11" ht="13.5" x14ac:dyDescent="0.35">
      <c r="B50" s="192" t="s">
        <v>153</v>
      </c>
      <c r="C50" s="222"/>
      <c r="D50" s="222" t="s">
        <v>164</v>
      </c>
      <c r="E50" s="191" t="s">
        <v>152</v>
      </c>
      <c r="F50" s="188">
        <v>24076.494999999999</v>
      </c>
      <c r="G50" s="188">
        <v>31337.675999999999</v>
      </c>
      <c r="H50" s="188">
        <v>0</v>
      </c>
      <c r="I50" s="188">
        <v>0</v>
      </c>
      <c r="J50" s="190">
        <v>55414.171000000002</v>
      </c>
      <c r="K50" s="177" t="s">
        <v>240</v>
      </c>
    </row>
    <row r="51" spans="2:11" ht="13.5" x14ac:dyDescent="0.35">
      <c r="B51" s="192" t="s">
        <v>154</v>
      </c>
      <c r="C51" s="222"/>
      <c r="D51" s="222" t="s">
        <v>164</v>
      </c>
      <c r="E51" s="191" t="s">
        <v>152</v>
      </c>
      <c r="F51" s="188">
        <v>2200</v>
      </c>
      <c r="G51" s="188">
        <v>22197.506000000001</v>
      </c>
      <c r="H51" s="188">
        <v>0</v>
      </c>
      <c r="I51" s="188">
        <v>0</v>
      </c>
      <c r="J51" s="190">
        <v>24397.506000000001</v>
      </c>
      <c r="K51" s="177" t="s">
        <v>208</v>
      </c>
    </row>
    <row r="52" spans="2:11" ht="13.5" x14ac:dyDescent="0.35">
      <c r="B52" s="192" t="s">
        <v>155</v>
      </c>
      <c r="C52" s="222"/>
      <c r="D52" s="222" t="s">
        <v>164</v>
      </c>
      <c r="E52" s="191" t="s">
        <v>152</v>
      </c>
      <c r="F52" s="188">
        <v>25568.044791276901</v>
      </c>
      <c r="G52" s="188">
        <v>79419.661660163605</v>
      </c>
      <c r="H52" s="188">
        <v>0</v>
      </c>
      <c r="I52" s="188">
        <v>4500</v>
      </c>
      <c r="J52" s="190">
        <v>109487.70645144051</v>
      </c>
      <c r="K52" s="177" t="s">
        <v>209</v>
      </c>
    </row>
    <row r="53" spans="2:11" ht="13.5" x14ac:dyDescent="0.35">
      <c r="B53" s="192" t="s">
        <v>156</v>
      </c>
      <c r="C53" s="222"/>
      <c r="D53" s="222" t="s">
        <v>164</v>
      </c>
      <c r="E53" s="191" t="s">
        <v>152</v>
      </c>
      <c r="F53" s="188">
        <v>10500</v>
      </c>
      <c r="G53" s="188">
        <v>31723.495999999999</v>
      </c>
      <c r="H53" s="188">
        <v>0</v>
      </c>
      <c r="I53" s="188">
        <v>0</v>
      </c>
      <c r="J53" s="190">
        <v>42223.495999999999</v>
      </c>
      <c r="K53" s="177" t="s">
        <v>208</v>
      </c>
    </row>
    <row r="54" spans="2:11" ht="13.5" x14ac:dyDescent="0.35">
      <c r="B54" s="192" t="s">
        <v>157</v>
      </c>
      <c r="C54" s="222"/>
      <c r="D54" s="222" t="s">
        <v>164</v>
      </c>
      <c r="E54" s="191" t="s">
        <v>152</v>
      </c>
      <c r="F54" s="188">
        <v>3000</v>
      </c>
      <c r="G54" s="188">
        <v>31400</v>
      </c>
      <c r="H54" s="188">
        <v>0</v>
      </c>
      <c r="I54" s="188">
        <v>80000</v>
      </c>
      <c r="J54" s="190">
        <v>114400</v>
      </c>
      <c r="K54" s="177" t="s">
        <v>308</v>
      </c>
    </row>
    <row r="55" spans="2:11" ht="17.649999999999999" x14ac:dyDescent="0.5">
      <c r="B55" s="236" t="s">
        <v>10</v>
      </c>
      <c r="C55" s="237"/>
      <c r="D55" s="237"/>
      <c r="E55" s="236"/>
      <c r="F55" s="236"/>
      <c r="G55" s="236"/>
      <c r="H55" s="236"/>
      <c r="I55" s="236"/>
      <c r="J55" s="236"/>
      <c r="K55" s="265"/>
    </row>
    <row r="56" spans="2:11" ht="13.5" x14ac:dyDescent="0.35">
      <c r="B56" s="192" t="s">
        <v>113</v>
      </c>
      <c r="C56" s="222" t="s">
        <v>184</v>
      </c>
      <c r="D56" s="222"/>
      <c r="E56" s="191" t="s">
        <v>59</v>
      </c>
      <c r="F56" s="193">
        <v>75421.472999999998</v>
      </c>
      <c r="G56" s="193">
        <v>239574.09099999999</v>
      </c>
      <c r="H56" s="193">
        <v>44365.572</v>
      </c>
      <c r="I56" s="193">
        <v>0</v>
      </c>
      <c r="J56" s="190">
        <v>359361.136</v>
      </c>
      <c r="K56" s="266"/>
    </row>
    <row r="57" spans="2:11" ht="13.5" x14ac:dyDescent="0.35">
      <c r="B57" s="192" t="s">
        <v>30</v>
      </c>
      <c r="C57" s="222" t="s">
        <v>184</v>
      </c>
      <c r="D57" s="222" t="s">
        <v>271</v>
      </c>
      <c r="E57" s="191" t="s">
        <v>272</v>
      </c>
      <c r="F57" s="193">
        <v>1121380</v>
      </c>
      <c r="G57" s="193">
        <v>3989333</v>
      </c>
      <c r="H57" s="193">
        <v>0</v>
      </c>
      <c r="I57" s="193">
        <v>0</v>
      </c>
      <c r="J57" s="190">
        <v>5110713</v>
      </c>
      <c r="K57" s="175"/>
    </row>
    <row r="58" spans="2:11" ht="13.9" x14ac:dyDescent="0.4">
      <c r="B58" s="192" t="s">
        <v>114</v>
      </c>
      <c r="C58" s="222" t="s">
        <v>184</v>
      </c>
      <c r="D58" s="222"/>
      <c r="E58" s="191" t="s">
        <v>61</v>
      </c>
      <c r="F58" s="193">
        <v>46881.754999999997</v>
      </c>
      <c r="G58" s="193">
        <v>177805.80799999999</v>
      </c>
      <c r="H58" s="193">
        <v>0</v>
      </c>
      <c r="I58" s="193">
        <v>0</v>
      </c>
      <c r="J58" s="190">
        <v>224687.56299999999</v>
      </c>
      <c r="K58" s="173"/>
    </row>
    <row r="59" spans="2:11" ht="13.9" x14ac:dyDescent="0.4">
      <c r="B59" s="192" t="s">
        <v>115</v>
      </c>
      <c r="C59" s="222" t="s">
        <v>184</v>
      </c>
      <c r="D59" s="222"/>
      <c r="E59" s="191" t="s">
        <v>62</v>
      </c>
      <c r="F59" s="193">
        <v>62306.923000000003</v>
      </c>
      <c r="G59" s="193">
        <v>121695.128</v>
      </c>
      <c r="H59" s="193">
        <v>16472.691999999999</v>
      </c>
      <c r="I59" s="193">
        <v>0</v>
      </c>
      <c r="J59" s="190">
        <v>200474.74300000002</v>
      </c>
      <c r="K59" s="267"/>
    </row>
    <row r="60" spans="2:11" ht="13.9" x14ac:dyDescent="0.4">
      <c r="B60" s="192" t="s">
        <v>28</v>
      </c>
      <c r="C60" s="222" t="s">
        <v>184</v>
      </c>
      <c r="D60" s="222"/>
      <c r="E60" s="191" t="s">
        <v>177</v>
      </c>
      <c r="F60" s="193">
        <v>125000</v>
      </c>
      <c r="G60" s="193">
        <v>422000</v>
      </c>
      <c r="H60" s="193">
        <v>10189.995234936299</v>
      </c>
      <c r="I60" s="193">
        <v>61142.307225144599</v>
      </c>
      <c r="J60" s="190">
        <v>618332.30246008083</v>
      </c>
      <c r="K60" s="264"/>
    </row>
    <row r="61" spans="2:11" ht="13.5" x14ac:dyDescent="0.35">
      <c r="B61" s="194" t="s">
        <v>33</v>
      </c>
      <c r="C61" s="207" t="s">
        <v>183</v>
      </c>
      <c r="D61" s="207"/>
      <c r="E61" s="186" t="s">
        <v>171</v>
      </c>
      <c r="F61" s="193">
        <v>194385.06983975199</v>
      </c>
      <c r="G61" s="193">
        <v>344755.995240808</v>
      </c>
      <c r="H61" s="193">
        <v>0</v>
      </c>
      <c r="I61" s="193">
        <v>16698.509381245301</v>
      </c>
      <c r="J61" s="190">
        <v>555839.5744618054</v>
      </c>
      <c r="K61" s="178"/>
    </row>
    <row r="62" spans="2:11" ht="13.5" x14ac:dyDescent="0.35">
      <c r="B62" s="192" t="s">
        <v>116</v>
      </c>
      <c r="C62" s="222" t="s">
        <v>184</v>
      </c>
      <c r="D62" s="222"/>
      <c r="E62" s="191" t="s">
        <v>63</v>
      </c>
      <c r="F62" s="193">
        <v>17705.237000000001</v>
      </c>
      <c r="G62" s="193">
        <v>70884.837</v>
      </c>
      <c r="H62" s="193">
        <v>0</v>
      </c>
      <c r="I62" s="193">
        <v>0</v>
      </c>
      <c r="J62" s="190">
        <v>88590.073999999993</v>
      </c>
      <c r="K62" s="175" t="s">
        <v>309</v>
      </c>
    </row>
    <row r="63" spans="2:11" ht="13.5" x14ac:dyDescent="0.35">
      <c r="B63" s="192" t="s">
        <v>20</v>
      </c>
      <c r="C63" s="222" t="s">
        <v>184</v>
      </c>
      <c r="D63" s="222"/>
      <c r="E63" s="191" t="s">
        <v>64</v>
      </c>
      <c r="F63" s="188">
        <v>492149</v>
      </c>
      <c r="G63" s="188">
        <v>1331632</v>
      </c>
      <c r="H63" s="188">
        <v>62091</v>
      </c>
      <c r="I63" s="188">
        <v>134743</v>
      </c>
      <c r="J63" s="190">
        <v>2020615</v>
      </c>
      <c r="K63" s="268"/>
    </row>
    <row r="64" spans="2:11" ht="13.5" x14ac:dyDescent="0.35">
      <c r="B64" s="192" t="s">
        <v>117</v>
      </c>
      <c r="C64" s="222" t="s">
        <v>184</v>
      </c>
      <c r="D64" s="222"/>
      <c r="E64" s="191" t="s">
        <v>319</v>
      </c>
      <c r="F64" s="188">
        <v>4955.4840000000004</v>
      </c>
      <c r="G64" s="188">
        <v>42410.237999999998</v>
      </c>
      <c r="H64" s="188">
        <v>1601.7190000000001</v>
      </c>
      <c r="I64" s="193">
        <v>0</v>
      </c>
      <c r="J64" s="190">
        <v>48967.440999999992</v>
      </c>
      <c r="K64" s="268"/>
    </row>
    <row r="65" spans="2:11" ht="13.5" x14ac:dyDescent="0.35">
      <c r="B65" s="192" t="s">
        <v>118</v>
      </c>
      <c r="C65" s="222" t="s">
        <v>184</v>
      </c>
      <c r="D65" s="222"/>
      <c r="E65" s="191" t="s">
        <v>205</v>
      </c>
      <c r="F65" s="193">
        <v>700</v>
      </c>
      <c r="G65" s="193">
        <v>19095</v>
      </c>
      <c r="H65" s="193">
        <v>400</v>
      </c>
      <c r="I65" s="193">
        <v>0</v>
      </c>
      <c r="J65" s="190">
        <v>20195</v>
      </c>
      <c r="K65" s="266" t="s">
        <v>251</v>
      </c>
    </row>
    <row r="66" spans="2:11" ht="13.5" x14ac:dyDescent="0.35">
      <c r="B66" s="192" t="s">
        <v>119</v>
      </c>
      <c r="C66" s="222" t="s">
        <v>184</v>
      </c>
      <c r="D66" s="222"/>
      <c r="E66" s="191" t="s">
        <v>206</v>
      </c>
      <c r="F66" s="193">
        <v>250775</v>
      </c>
      <c r="G66" s="193">
        <v>298284</v>
      </c>
      <c r="H66" s="193">
        <v>11355</v>
      </c>
      <c r="I66" s="188">
        <v>51946</v>
      </c>
      <c r="J66" s="190">
        <v>612360</v>
      </c>
      <c r="K66" s="269"/>
    </row>
    <row r="67" spans="2:11" ht="13.9" x14ac:dyDescent="0.4">
      <c r="B67" s="192" t="s">
        <v>25</v>
      </c>
      <c r="C67" s="222" t="s">
        <v>184</v>
      </c>
      <c r="D67" s="222"/>
      <c r="E67" s="191" t="s">
        <v>65</v>
      </c>
      <c r="F67" s="193">
        <v>72086.014999999999</v>
      </c>
      <c r="G67" s="193">
        <v>137305.06099999999</v>
      </c>
      <c r="H67" s="193">
        <v>0</v>
      </c>
      <c r="I67" s="193">
        <v>137844.97</v>
      </c>
      <c r="J67" s="190">
        <v>347236.04599999997</v>
      </c>
      <c r="K67" s="174"/>
    </row>
    <row r="68" spans="2:11" ht="13.9" x14ac:dyDescent="0.4">
      <c r="B68" s="192" t="s">
        <v>291</v>
      </c>
      <c r="C68" s="222" t="s">
        <v>183</v>
      </c>
      <c r="D68" s="222"/>
      <c r="E68" s="191" t="s">
        <v>292</v>
      </c>
      <c r="F68" s="193">
        <v>316.01530000000002</v>
      </c>
      <c r="G68" s="193">
        <v>1804.5646300000001</v>
      </c>
      <c r="H68" s="193">
        <v>0</v>
      </c>
      <c r="I68" s="193">
        <v>0</v>
      </c>
      <c r="J68" s="190">
        <v>2120.5799299999999</v>
      </c>
      <c r="K68" s="174"/>
    </row>
    <row r="69" spans="2:11" ht="13.5" x14ac:dyDescent="0.35">
      <c r="B69" s="192" t="s">
        <v>120</v>
      </c>
      <c r="C69" s="222" t="s">
        <v>184</v>
      </c>
      <c r="D69" s="222"/>
      <c r="E69" s="191" t="s">
        <v>66</v>
      </c>
      <c r="F69" s="193">
        <v>22017</v>
      </c>
      <c r="G69" s="193">
        <v>60523</v>
      </c>
      <c r="H69" s="193">
        <v>4124</v>
      </c>
      <c r="I69" s="193">
        <v>0</v>
      </c>
      <c r="J69" s="190">
        <v>86664</v>
      </c>
      <c r="K69" s="266"/>
    </row>
    <row r="70" spans="2:11" ht="13.5" x14ac:dyDescent="0.35">
      <c r="B70" s="194" t="s">
        <v>161</v>
      </c>
      <c r="C70" s="207" t="s">
        <v>184</v>
      </c>
      <c r="D70" s="207"/>
      <c r="E70" s="186" t="s">
        <v>160</v>
      </c>
      <c r="F70" s="188">
        <v>13665.702499999999</v>
      </c>
      <c r="G70" s="188">
        <v>40389.90135</v>
      </c>
      <c r="H70" s="188">
        <v>531.40373999999997</v>
      </c>
      <c r="I70" s="188">
        <v>0</v>
      </c>
      <c r="J70" s="190">
        <v>54587.007590000001</v>
      </c>
      <c r="K70" s="270"/>
    </row>
    <row r="71" spans="2:11" ht="13.5" x14ac:dyDescent="0.35">
      <c r="B71" s="192" t="s">
        <v>121</v>
      </c>
      <c r="C71" s="222" t="s">
        <v>184</v>
      </c>
      <c r="D71" s="222"/>
      <c r="E71" s="191" t="s">
        <v>67</v>
      </c>
      <c r="F71" s="193">
        <v>764980</v>
      </c>
      <c r="G71" s="193">
        <v>364480</v>
      </c>
      <c r="H71" s="193" t="s">
        <v>16</v>
      </c>
      <c r="I71" s="187" t="s">
        <v>3</v>
      </c>
      <c r="J71" s="190">
        <v>1129460</v>
      </c>
      <c r="K71" s="175"/>
    </row>
    <row r="72" spans="2:11" ht="13.5" x14ac:dyDescent="0.35">
      <c r="B72" s="192" t="s">
        <v>162</v>
      </c>
      <c r="C72" s="222" t="s">
        <v>238</v>
      </c>
      <c r="D72" s="222"/>
      <c r="E72" s="191" t="s">
        <v>182</v>
      </c>
      <c r="F72" s="193">
        <v>17124</v>
      </c>
      <c r="G72" s="193">
        <v>180929</v>
      </c>
      <c r="H72" s="193">
        <v>0</v>
      </c>
      <c r="I72" s="193">
        <v>0</v>
      </c>
      <c r="J72" s="190">
        <v>198053</v>
      </c>
      <c r="K72" s="178"/>
    </row>
    <row r="73" spans="2:11" ht="13.5" x14ac:dyDescent="0.35">
      <c r="B73" s="192" t="s">
        <v>34</v>
      </c>
      <c r="C73" s="207" t="s">
        <v>238</v>
      </c>
      <c r="D73" s="207"/>
      <c r="E73" s="191" t="s">
        <v>179</v>
      </c>
      <c r="F73" s="188">
        <v>99000</v>
      </c>
      <c r="G73" s="188">
        <v>116000</v>
      </c>
      <c r="H73" s="188">
        <v>0</v>
      </c>
      <c r="I73" s="188">
        <v>0</v>
      </c>
      <c r="J73" s="190">
        <v>215000</v>
      </c>
      <c r="K73" s="178"/>
    </row>
    <row r="74" spans="2:11" ht="17.649999999999999" x14ac:dyDescent="0.5">
      <c r="B74" s="238" t="s">
        <v>9</v>
      </c>
      <c r="C74" s="239"/>
      <c r="D74" s="239"/>
      <c r="E74" s="238"/>
      <c r="F74" s="238"/>
      <c r="G74" s="238"/>
      <c r="H74" s="238"/>
      <c r="I74" s="238"/>
      <c r="J74" s="238"/>
      <c r="K74" s="170"/>
    </row>
    <row r="75" spans="2:11" ht="13.5" x14ac:dyDescent="0.35">
      <c r="B75" s="192" t="s">
        <v>13</v>
      </c>
      <c r="C75" s="222" t="s">
        <v>184</v>
      </c>
      <c r="D75" s="222"/>
      <c r="E75" s="191" t="s">
        <v>68</v>
      </c>
      <c r="F75" s="188">
        <v>790</v>
      </c>
      <c r="G75" s="188">
        <v>640</v>
      </c>
      <c r="H75" s="188">
        <v>576</v>
      </c>
      <c r="I75" s="188">
        <v>0</v>
      </c>
      <c r="J75" s="190">
        <v>2006</v>
      </c>
      <c r="K75" s="175"/>
    </row>
    <row r="76" spans="2:11" ht="13.9" x14ac:dyDescent="0.4">
      <c r="B76" s="192" t="s">
        <v>122</v>
      </c>
      <c r="C76" s="222" t="s">
        <v>184</v>
      </c>
      <c r="D76" s="222"/>
      <c r="E76" s="191" t="s">
        <v>69</v>
      </c>
      <c r="F76" s="188">
        <v>0</v>
      </c>
      <c r="G76" s="188">
        <v>185508</v>
      </c>
      <c r="H76" s="188">
        <v>0</v>
      </c>
      <c r="I76" s="188">
        <v>0</v>
      </c>
      <c r="J76" s="190">
        <v>185508</v>
      </c>
      <c r="K76" s="271"/>
    </row>
    <row r="77" spans="2:11" ht="13.5" x14ac:dyDescent="0.35">
      <c r="B77" s="194" t="s">
        <v>32</v>
      </c>
      <c r="C77" s="222" t="s">
        <v>183</v>
      </c>
      <c r="D77" s="207"/>
      <c r="E77" s="191"/>
      <c r="F77" s="187" t="s">
        <v>3</v>
      </c>
      <c r="G77" s="187" t="s">
        <v>3</v>
      </c>
      <c r="H77" s="187" t="s">
        <v>3</v>
      </c>
      <c r="I77" s="187" t="s">
        <v>3</v>
      </c>
      <c r="J77" s="190">
        <v>19000</v>
      </c>
      <c r="K77" s="261" t="s">
        <v>251</v>
      </c>
    </row>
    <row r="78" spans="2:11" ht="13.5" x14ac:dyDescent="0.35">
      <c r="B78" s="192" t="s">
        <v>22</v>
      </c>
      <c r="C78" s="222" t="s">
        <v>184</v>
      </c>
      <c r="D78" s="222"/>
      <c r="E78" s="191" t="s">
        <v>303</v>
      </c>
      <c r="F78" s="193">
        <v>68474.373999999996</v>
      </c>
      <c r="G78" s="193">
        <v>426200.91899999999</v>
      </c>
      <c r="H78" s="193">
        <v>0</v>
      </c>
      <c r="I78" s="193">
        <v>0</v>
      </c>
      <c r="J78" s="190">
        <v>494675.29300000001</v>
      </c>
      <c r="K78" s="172" t="s">
        <v>326</v>
      </c>
    </row>
    <row r="79" spans="2:11" ht="13.5" x14ac:dyDescent="0.35">
      <c r="B79" s="192" t="s">
        <v>123</v>
      </c>
      <c r="C79" s="222" t="s">
        <v>183</v>
      </c>
      <c r="D79" s="222"/>
      <c r="E79" s="191" t="s">
        <v>71</v>
      </c>
      <c r="F79" s="193">
        <v>4404.835</v>
      </c>
      <c r="G79" s="193">
        <v>11177.579</v>
      </c>
      <c r="H79" s="193">
        <v>776.52700000000004</v>
      </c>
      <c r="I79" s="193">
        <v>0</v>
      </c>
      <c r="J79" s="190">
        <v>16358.941000000001</v>
      </c>
      <c r="K79" s="261" t="s">
        <v>251</v>
      </c>
    </row>
    <row r="80" spans="2:11" ht="13.5" x14ac:dyDescent="0.35">
      <c r="B80" s="192" t="s">
        <v>124</v>
      </c>
      <c r="C80" s="222" t="s">
        <v>184</v>
      </c>
      <c r="D80" s="222"/>
      <c r="E80" s="191" t="s">
        <v>72</v>
      </c>
      <c r="F80" s="188">
        <v>33073.012000000002</v>
      </c>
      <c r="G80" s="188">
        <v>6312.2790000000005</v>
      </c>
      <c r="H80" s="188">
        <v>8187.4589999999998</v>
      </c>
      <c r="I80" s="188">
        <v>346.97800000000001</v>
      </c>
      <c r="J80" s="190">
        <v>47919.72800000001</v>
      </c>
      <c r="K80" s="268"/>
    </row>
    <row r="81" spans="2:11" ht="13.5" x14ac:dyDescent="0.35">
      <c r="B81" s="199" t="s">
        <v>125</v>
      </c>
      <c r="C81" s="222" t="s">
        <v>184</v>
      </c>
      <c r="D81" s="222"/>
      <c r="E81" s="191" t="s">
        <v>73</v>
      </c>
      <c r="F81" s="193">
        <v>2179.0340000000001</v>
      </c>
      <c r="G81" s="193">
        <v>0</v>
      </c>
      <c r="H81" s="193">
        <v>0</v>
      </c>
      <c r="I81" s="193">
        <v>0</v>
      </c>
      <c r="J81" s="190">
        <v>2179.0340000000001</v>
      </c>
      <c r="K81" s="266"/>
    </row>
    <row r="82" spans="2:11" ht="13.5" x14ac:dyDescent="0.35">
      <c r="B82" s="192" t="s">
        <v>126</v>
      </c>
      <c r="C82" s="222" t="s">
        <v>183</v>
      </c>
      <c r="D82" s="222"/>
      <c r="E82" s="191" t="s">
        <v>74</v>
      </c>
      <c r="F82" s="193">
        <v>500</v>
      </c>
      <c r="G82" s="193">
        <v>25650</v>
      </c>
      <c r="H82" s="193">
        <v>800</v>
      </c>
      <c r="I82" s="193">
        <v>0</v>
      </c>
      <c r="J82" s="190">
        <v>26950</v>
      </c>
      <c r="K82" s="261" t="s">
        <v>251</v>
      </c>
    </row>
    <row r="83" spans="2:11" ht="13.5" x14ac:dyDescent="0.35">
      <c r="B83" s="192" t="s">
        <v>127</v>
      </c>
      <c r="C83" s="222" t="s">
        <v>184</v>
      </c>
      <c r="D83" s="222"/>
      <c r="E83" s="191" t="s">
        <v>75</v>
      </c>
      <c r="F83" s="187" t="s">
        <v>26</v>
      </c>
      <c r="G83" s="188" t="s">
        <v>3</v>
      </c>
      <c r="H83" s="188" t="s">
        <v>3</v>
      </c>
      <c r="I83" s="188" t="s">
        <v>3</v>
      </c>
      <c r="J83" s="190">
        <v>0</v>
      </c>
      <c r="K83" s="175" t="s">
        <v>214</v>
      </c>
    </row>
    <row r="84" spans="2:11" ht="13.5" x14ac:dyDescent="0.35">
      <c r="B84" s="192" t="s">
        <v>128</v>
      </c>
      <c r="C84" s="222" t="s">
        <v>184</v>
      </c>
      <c r="D84" s="222"/>
      <c r="E84" s="191" t="s">
        <v>76</v>
      </c>
      <c r="F84" s="187" t="s">
        <v>26</v>
      </c>
      <c r="G84" s="188">
        <v>57743.303</v>
      </c>
      <c r="H84" s="188">
        <v>0</v>
      </c>
      <c r="I84" s="188">
        <v>0</v>
      </c>
      <c r="J84" s="190">
        <v>57743.303</v>
      </c>
      <c r="K84" s="172" t="s">
        <v>269</v>
      </c>
    </row>
    <row r="85" spans="2:11" ht="13.9" x14ac:dyDescent="0.4">
      <c r="B85" s="192" t="s">
        <v>17</v>
      </c>
      <c r="C85" s="222" t="s">
        <v>184</v>
      </c>
      <c r="D85" s="222"/>
      <c r="E85" s="191" t="s">
        <v>77</v>
      </c>
      <c r="F85" s="193">
        <v>482693.22100000002</v>
      </c>
      <c r="G85" s="193">
        <v>814078.69299999997</v>
      </c>
      <c r="H85" s="193">
        <v>0</v>
      </c>
      <c r="I85" s="193">
        <v>0</v>
      </c>
      <c r="J85" s="190">
        <v>1296771.9139999999</v>
      </c>
      <c r="K85" s="173"/>
    </row>
    <row r="86" spans="2:11" ht="13.9" x14ac:dyDescent="0.4">
      <c r="B86" s="192" t="s">
        <v>18</v>
      </c>
      <c r="C86" s="222" t="s">
        <v>184</v>
      </c>
      <c r="D86" s="222"/>
      <c r="E86" s="191" t="s">
        <v>78</v>
      </c>
      <c r="F86" s="193">
        <v>157857.40299999999</v>
      </c>
      <c r="G86" s="193">
        <v>1062852.2890000001</v>
      </c>
      <c r="H86" s="193">
        <v>0</v>
      </c>
      <c r="I86" s="193">
        <v>0</v>
      </c>
      <c r="J86" s="190">
        <v>1220709.692</v>
      </c>
      <c r="K86" s="173"/>
    </row>
    <row r="87" spans="2:11" ht="13.5" x14ac:dyDescent="0.35">
      <c r="B87" s="192" t="s">
        <v>129</v>
      </c>
      <c r="C87" s="222" t="s">
        <v>184</v>
      </c>
      <c r="D87" s="222"/>
      <c r="E87" s="191" t="s">
        <v>79</v>
      </c>
      <c r="F87" s="193">
        <v>16334</v>
      </c>
      <c r="G87" s="193">
        <v>36490</v>
      </c>
      <c r="H87" s="193">
        <v>9600</v>
      </c>
      <c r="I87" s="193">
        <v>0</v>
      </c>
      <c r="J87" s="190">
        <v>62424</v>
      </c>
      <c r="K87" s="172" t="s">
        <v>204</v>
      </c>
    </row>
    <row r="88" spans="2:11" ht="13.5" x14ac:dyDescent="0.35">
      <c r="B88" s="192" t="s">
        <v>130</v>
      </c>
      <c r="C88" s="222" t="s">
        <v>183</v>
      </c>
      <c r="D88" s="222"/>
      <c r="E88" s="191" t="s">
        <v>80</v>
      </c>
      <c r="F88" s="187" t="s">
        <v>3</v>
      </c>
      <c r="G88" s="187" t="s">
        <v>3</v>
      </c>
      <c r="H88" s="187" t="s">
        <v>3</v>
      </c>
      <c r="I88" s="187" t="s">
        <v>3</v>
      </c>
      <c r="J88" s="190">
        <v>10925</v>
      </c>
      <c r="K88" s="261" t="s">
        <v>251</v>
      </c>
    </row>
    <row r="89" spans="2:11" ht="13.5" x14ac:dyDescent="0.35">
      <c r="B89" s="192" t="s">
        <v>131</v>
      </c>
      <c r="C89" s="222" t="s">
        <v>183</v>
      </c>
      <c r="D89" s="222"/>
      <c r="E89" s="191" t="s">
        <v>81</v>
      </c>
      <c r="F89" s="193">
        <v>6960</v>
      </c>
      <c r="G89" s="193">
        <v>28065.600000000002</v>
      </c>
      <c r="H89" s="193">
        <v>0</v>
      </c>
      <c r="I89" s="193">
        <v>0</v>
      </c>
      <c r="J89" s="190">
        <v>35025.600000000006</v>
      </c>
      <c r="K89" s="261"/>
    </row>
    <row r="90" spans="2:11" ht="13.9" x14ac:dyDescent="0.4">
      <c r="B90" s="192" t="s">
        <v>19</v>
      </c>
      <c r="C90" s="222" t="s">
        <v>184</v>
      </c>
      <c r="D90" s="222"/>
      <c r="E90" s="191" t="s">
        <v>82</v>
      </c>
      <c r="F90" s="193">
        <v>431070.554</v>
      </c>
      <c r="G90" s="193">
        <v>484876.565</v>
      </c>
      <c r="H90" s="193">
        <v>17174.831999999999</v>
      </c>
      <c r="I90" s="193">
        <v>78007.356</v>
      </c>
      <c r="J90" s="190">
        <v>1011129.307</v>
      </c>
      <c r="K90" s="173"/>
    </row>
    <row r="91" spans="2:11" ht="13.5" x14ac:dyDescent="0.35">
      <c r="B91" s="192" t="s">
        <v>21</v>
      </c>
      <c r="C91" s="222" t="s">
        <v>184</v>
      </c>
      <c r="D91" s="222"/>
      <c r="E91" s="191" t="s">
        <v>320</v>
      </c>
      <c r="F91" s="193">
        <v>337136.8</v>
      </c>
      <c r="G91" s="193">
        <v>381559</v>
      </c>
      <c r="H91" s="193">
        <v>0</v>
      </c>
      <c r="I91" s="188">
        <v>0</v>
      </c>
      <c r="J91" s="190">
        <v>718695.8</v>
      </c>
      <c r="K91" s="266"/>
    </row>
    <row r="92" spans="2:11" ht="27" x14ac:dyDescent="0.35">
      <c r="B92" s="192" t="s">
        <v>173</v>
      </c>
      <c r="C92" s="222" t="s">
        <v>184</v>
      </c>
      <c r="D92" s="222"/>
      <c r="E92" s="191" t="s">
        <v>84</v>
      </c>
      <c r="F92" s="193">
        <v>1244200</v>
      </c>
      <c r="G92" s="193">
        <v>38900</v>
      </c>
      <c r="H92" s="193">
        <v>0</v>
      </c>
      <c r="I92" s="188">
        <v>145300</v>
      </c>
      <c r="J92" s="190">
        <v>1428400</v>
      </c>
      <c r="K92" s="272" t="s">
        <v>327</v>
      </c>
    </row>
    <row r="93" spans="2:11" ht="13.9" x14ac:dyDescent="0.4">
      <c r="B93" s="192" t="s">
        <v>132</v>
      </c>
      <c r="C93" s="222" t="s">
        <v>184</v>
      </c>
      <c r="D93" s="222"/>
      <c r="E93" s="191" t="s">
        <v>85</v>
      </c>
      <c r="F93" s="193">
        <v>43403</v>
      </c>
      <c r="G93" s="193">
        <v>140176.4</v>
      </c>
      <c r="H93" s="193">
        <v>10090</v>
      </c>
      <c r="I93" s="193">
        <v>10600</v>
      </c>
      <c r="J93" s="190">
        <v>204269.4</v>
      </c>
      <c r="K93" s="173"/>
    </row>
    <row r="94" spans="2:11" ht="13.9" x14ac:dyDescent="0.4">
      <c r="B94" s="192" t="s">
        <v>133</v>
      </c>
      <c r="C94" s="222" t="s">
        <v>183</v>
      </c>
      <c r="D94" s="222"/>
      <c r="E94" s="191" t="s">
        <v>86</v>
      </c>
      <c r="F94" s="193">
        <v>17278</v>
      </c>
      <c r="G94" s="193">
        <v>31449</v>
      </c>
      <c r="H94" s="188">
        <v>9400</v>
      </c>
      <c r="I94" s="193">
        <v>11935.6</v>
      </c>
      <c r="J94" s="190">
        <v>70062.600000000006</v>
      </c>
      <c r="K94" s="173"/>
    </row>
    <row r="95" spans="2:11" ht="13.5" x14ac:dyDescent="0.35">
      <c r="B95" s="192" t="s">
        <v>134</v>
      </c>
      <c r="C95" s="222" t="s">
        <v>183</v>
      </c>
      <c r="D95" s="222"/>
      <c r="E95" s="191" t="s">
        <v>87</v>
      </c>
      <c r="F95" s="193">
        <v>116800</v>
      </c>
      <c r="G95" s="193">
        <v>0</v>
      </c>
      <c r="H95" s="193">
        <v>0</v>
      </c>
      <c r="I95" s="193">
        <v>0</v>
      </c>
      <c r="J95" s="190">
        <v>116800</v>
      </c>
      <c r="K95" s="261" t="s">
        <v>251</v>
      </c>
    </row>
    <row r="96" spans="2:11" ht="13.5" x14ac:dyDescent="0.35">
      <c r="B96" s="192" t="s">
        <v>24</v>
      </c>
      <c r="C96" s="222" t="s">
        <v>183</v>
      </c>
      <c r="D96" s="222"/>
      <c r="E96" s="191" t="s">
        <v>178</v>
      </c>
      <c r="F96" s="193">
        <v>201480</v>
      </c>
      <c r="G96" s="193">
        <v>515550</v>
      </c>
      <c r="H96" s="193">
        <v>163950</v>
      </c>
      <c r="I96" s="193" t="s">
        <v>3</v>
      </c>
      <c r="J96" s="190">
        <v>880980</v>
      </c>
      <c r="K96" s="273"/>
    </row>
    <row r="97" spans="2:11" ht="13.9" x14ac:dyDescent="0.4">
      <c r="B97" s="192" t="s">
        <v>135</v>
      </c>
      <c r="C97" s="222" t="s">
        <v>184</v>
      </c>
      <c r="D97" s="222"/>
      <c r="E97" s="191" t="s">
        <v>88</v>
      </c>
      <c r="F97" s="193">
        <v>19629.989000000001</v>
      </c>
      <c r="G97" s="193">
        <v>17117.740000000002</v>
      </c>
      <c r="H97" s="193">
        <v>2477.0568499999999</v>
      </c>
      <c r="I97" s="193">
        <v>0</v>
      </c>
      <c r="J97" s="190">
        <v>39224.785850000007</v>
      </c>
      <c r="K97" s="174"/>
    </row>
    <row r="98" spans="2:11" ht="13.5" x14ac:dyDescent="0.35">
      <c r="B98" s="192" t="s">
        <v>136</v>
      </c>
      <c r="C98" s="222" t="s">
        <v>184</v>
      </c>
      <c r="D98" s="222"/>
      <c r="E98" s="191" t="s">
        <v>89</v>
      </c>
      <c r="F98" s="193">
        <v>133078.99</v>
      </c>
      <c r="G98" s="193">
        <v>285238.14199999999</v>
      </c>
      <c r="H98" s="193">
        <v>18588.876</v>
      </c>
      <c r="I98" s="193">
        <v>0</v>
      </c>
      <c r="J98" s="190">
        <v>436906.00799999997</v>
      </c>
      <c r="K98" s="268"/>
    </row>
    <row r="99" spans="2:11" ht="13.9" x14ac:dyDescent="0.4">
      <c r="B99" s="192" t="s">
        <v>137</v>
      </c>
      <c r="C99" s="222" t="s">
        <v>184</v>
      </c>
      <c r="D99" s="222"/>
      <c r="E99" s="191" t="s">
        <v>90</v>
      </c>
      <c r="F99" s="193">
        <v>55059.639000000003</v>
      </c>
      <c r="G99" s="193">
        <v>160618.42199999999</v>
      </c>
      <c r="H99" s="193">
        <v>35518.493999999999</v>
      </c>
      <c r="I99" s="188">
        <v>0</v>
      </c>
      <c r="J99" s="190">
        <v>251196.55499999999</v>
      </c>
      <c r="K99" s="176"/>
    </row>
    <row r="100" spans="2:11" ht="13.9" x14ac:dyDescent="0.4">
      <c r="B100" s="192" t="s">
        <v>102</v>
      </c>
      <c r="C100" s="222" t="s">
        <v>184</v>
      </c>
      <c r="D100" s="222"/>
      <c r="E100" s="191" t="s">
        <v>91</v>
      </c>
      <c r="F100" s="188">
        <v>1000</v>
      </c>
      <c r="G100" s="188">
        <v>290000</v>
      </c>
      <c r="H100" s="188">
        <v>0</v>
      </c>
      <c r="I100" s="188">
        <v>0</v>
      </c>
      <c r="J100" s="190">
        <v>291000</v>
      </c>
      <c r="K100" s="274"/>
    </row>
    <row r="101" spans="2:11" ht="13.5" x14ac:dyDescent="0.35">
      <c r="B101" s="192" t="s">
        <v>101</v>
      </c>
      <c r="C101" s="222" t="s">
        <v>184</v>
      </c>
      <c r="D101" s="222"/>
      <c r="E101" s="191" t="s">
        <v>92</v>
      </c>
      <c r="F101" s="188">
        <v>185482.57800000001</v>
      </c>
      <c r="G101" s="188">
        <v>292756.658</v>
      </c>
      <c r="H101" s="188">
        <v>22249.378000000001</v>
      </c>
      <c r="I101" s="188">
        <v>0</v>
      </c>
      <c r="J101" s="190">
        <v>500488.61400000006</v>
      </c>
      <c r="K101" s="266"/>
    </row>
    <row r="102" spans="2:11" ht="13.5" x14ac:dyDescent="0.35">
      <c r="B102" s="192" t="s">
        <v>12</v>
      </c>
      <c r="C102" s="222" t="s">
        <v>183</v>
      </c>
      <c r="D102" s="222"/>
      <c r="E102" s="191" t="s">
        <v>93</v>
      </c>
      <c r="F102" s="193">
        <v>375</v>
      </c>
      <c r="G102" s="193">
        <v>45837.5</v>
      </c>
      <c r="H102" s="193">
        <v>75</v>
      </c>
      <c r="I102" s="193">
        <v>0</v>
      </c>
      <c r="J102" s="190">
        <v>46287.5</v>
      </c>
      <c r="K102" s="261" t="s">
        <v>325</v>
      </c>
    </row>
    <row r="103" spans="2:11" ht="13.5" x14ac:dyDescent="0.35">
      <c r="B103" s="192" t="s">
        <v>100</v>
      </c>
      <c r="C103" s="222" t="s">
        <v>184</v>
      </c>
      <c r="D103" s="222"/>
      <c r="E103" s="191" t="s">
        <v>94</v>
      </c>
      <c r="F103" s="193">
        <v>716418.804</v>
      </c>
      <c r="G103" s="193">
        <v>981321.63800000004</v>
      </c>
      <c r="H103" s="193">
        <v>799529.06799999997</v>
      </c>
      <c r="I103" s="193">
        <v>1372793.3459999999</v>
      </c>
      <c r="J103" s="190">
        <v>3870062.8559999997</v>
      </c>
      <c r="K103" s="275"/>
    </row>
    <row r="104" spans="2:11" ht="13.5" x14ac:dyDescent="0.35">
      <c r="B104" s="192" t="s">
        <v>99</v>
      </c>
      <c r="C104" s="222" t="s">
        <v>184</v>
      </c>
      <c r="D104" s="222"/>
      <c r="E104" s="191" t="s">
        <v>95</v>
      </c>
      <c r="F104" s="193">
        <v>840695.44200000004</v>
      </c>
      <c r="G104" s="193">
        <v>2183403.5649999999</v>
      </c>
      <c r="H104" s="193">
        <v>1076206.7679999999</v>
      </c>
      <c r="I104" s="193">
        <v>1301939.746</v>
      </c>
      <c r="J104" s="190">
        <v>5402245.5210000006</v>
      </c>
      <c r="K104" s="276" t="s">
        <v>202</v>
      </c>
    </row>
    <row r="105" spans="2:11" ht="17.649999999999999" x14ac:dyDescent="0.5">
      <c r="B105" s="240" t="s">
        <v>50</v>
      </c>
      <c r="C105" s="241"/>
      <c r="D105" s="241"/>
      <c r="E105" s="240"/>
      <c r="F105" s="242"/>
      <c r="G105" s="242"/>
      <c r="H105" s="242"/>
      <c r="I105" s="242"/>
      <c r="J105" s="240"/>
      <c r="K105" s="170"/>
    </row>
    <row r="106" spans="2:11" ht="13.5" x14ac:dyDescent="0.35">
      <c r="B106" s="192" t="s">
        <v>36</v>
      </c>
      <c r="C106" s="222" t="s">
        <v>183</v>
      </c>
      <c r="D106" s="207" t="s">
        <v>165</v>
      </c>
      <c r="E106" s="186" t="s">
        <v>169</v>
      </c>
      <c r="F106" s="187" t="s">
        <v>3</v>
      </c>
      <c r="G106" s="188">
        <v>23950</v>
      </c>
      <c r="H106" s="187" t="s">
        <v>3</v>
      </c>
      <c r="I106" s="187" t="s">
        <v>3</v>
      </c>
      <c r="J106" s="190">
        <v>23950</v>
      </c>
      <c r="K106" s="175"/>
    </row>
    <row r="107" spans="2:11" ht="13.5" x14ac:dyDescent="0.35">
      <c r="B107" s="194" t="s">
        <v>40</v>
      </c>
      <c r="C107" s="207" t="s">
        <v>183</v>
      </c>
      <c r="D107" s="207" t="s">
        <v>165</v>
      </c>
      <c r="E107" s="186" t="s">
        <v>169</v>
      </c>
      <c r="F107" s="188">
        <v>3000</v>
      </c>
      <c r="G107" s="188">
        <v>18000</v>
      </c>
      <c r="H107" s="187" t="s">
        <v>3</v>
      </c>
      <c r="I107" s="187" t="s">
        <v>3</v>
      </c>
      <c r="J107" s="190">
        <v>21000</v>
      </c>
      <c r="K107" s="175"/>
    </row>
    <row r="108" spans="2:11" ht="13.5" x14ac:dyDescent="0.35">
      <c r="B108" s="192" t="s">
        <v>98</v>
      </c>
      <c r="C108" s="222" t="s">
        <v>184</v>
      </c>
      <c r="D108" s="207" t="s">
        <v>165</v>
      </c>
      <c r="E108" s="186" t="s">
        <v>169</v>
      </c>
      <c r="F108" s="187" t="s">
        <v>3</v>
      </c>
      <c r="G108" s="188">
        <v>26000</v>
      </c>
      <c r="H108" s="187" t="s">
        <v>3</v>
      </c>
      <c r="I108" s="187" t="s">
        <v>3</v>
      </c>
      <c r="J108" s="190">
        <v>26000</v>
      </c>
      <c r="K108" s="175"/>
    </row>
    <row r="109" spans="2:11" ht="13.5" x14ac:dyDescent="0.35">
      <c r="B109" s="194" t="s">
        <v>43</v>
      </c>
      <c r="C109" s="207" t="s">
        <v>183</v>
      </c>
      <c r="D109" s="207" t="s">
        <v>165</v>
      </c>
      <c r="E109" s="186" t="s">
        <v>169</v>
      </c>
      <c r="F109" s="187" t="s">
        <v>3</v>
      </c>
      <c r="G109" s="188">
        <v>58000</v>
      </c>
      <c r="H109" s="187" t="s">
        <v>3</v>
      </c>
      <c r="I109" s="187" t="s">
        <v>3</v>
      </c>
      <c r="J109" s="190">
        <v>58000</v>
      </c>
      <c r="K109" s="175"/>
    </row>
    <row r="110" spans="2:11" ht="13.5" x14ac:dyDescent="0.35">
      <c r="B110" s="192" t="s">
        <v>97</v>
      </c>
      <c r="C110" s="222" t="s">
        <v>183</v>
      </c>
      <c r="D110" s="222" t="s">
        <v>165</v>
      </c>
      <c r="E110" s="191" t="s">
        <v>96</v>
      </c>
      <c r="F110" s="188">
        <v>0</v>
      </c>
      <c r="G110" s="188">
        <v>37000</v>
      </c>
      <c r="H110" s="188">
        <v>0</v>
      </c>
      <c r="I110" s="188">
        <v>0</v>
      </c>
      <c r="J110" s="190">
        <v>37000</v>
      </c>
      <c r="K110" s="175"/>
    </row>
    <row r="111" spans="2:11" ht="13.5" x14ac:dyDescent="0.35">
      <c r="B111" s="194" t="s">
        <v>44</v>
      </c>
      <c r="C111" s="207" t="s">
        <v>183</v>
      </c>
      <c r="D111" s="207" t="s">
        <v>165</v>
      </c>
      <c r="E111" s="186" t="s">
        <v>169</v>
      </c>
      <c r="F111" s="187">
        <v>2900</v>
      </c>
      <c r="G111" s="188">
        <v>13000</v>
      </c>
      <c r="H111" s="187" t="s">
        <v>3</v>
      </c>
      <c r="I111" s="187" t="s">
        <v>3</v>
      </c>
      <c r="J111" s="190">
        <v>15900</v>
      </c>
      <c r="K111" s="175"/>
    </row>
    <row r="112" spans="2:11" ht="13.5" x14ac:dyDescent="0.35">
      <c r="B112" s="194" t="s">
        <v>39</v>
      </c>
      <c r="C112" s="207" t="s">
        <v>183</v>
      </c>
      <c r="D112" s="207" t="s">
        <v>165</v>
      </c>
      <c r="E112" s="186" t="s">
        <v>169</v>
      </c>
      <c r="F112" s="187" t="s">
        <v>3</v>
      </c>
      <c r="G112" s="188">
        <v>47000</v>
      </c>
      <c r="H112" s="187" t="s">
        <v>3</v>
      </c>
      <c r="I112" s="187" t="s">
        <v>3</v>
      </c>
      <c r="J112" s="190">
        <v>47000</v>
      </c>
      <c r="K112" s="175"/>
    </row>
    <row r="113" spans="2:11" ht="13.5" x14ac:dyDescent="0.35">
      <c r="B113" s="194" t="s">
        <v>41</v>
      </c>
      <c r="C113" s="207" t="s">
        <v>183</v>
      </c>
      <c r="D113" s="207" t="s">
        <v>165</v>
      </c>
      <c r="E113" s="186" t="s">
        <v>169</v>
      </c>
      <c r="F113" s="187" t="s">
        <v>3</v>
      </c>
      <c r="G113" s="188">
        <v>2000</v>
      </c>
      <c r="H113" s="187" t="s">
        <v>3</v>
      </c>
      <c r="I113" s="187" t="s">
        <v>3</v>
      </c>
      <c r="J113" s="190">
        <v>2000</v>
      </c>
      <c r="K113" s="175"/>
    </row>
    <row r="114" spans="2:11" ht="13.5" x14ac:dyDescent="0.35">
      <c r="B114" s="194" t="s">
        <v>42</v>
      </c>
      <c r="C114" s="207" t="s">
        <v>183</v>
      </c>
      <c r="D114" s="207" t="s">
        <v>165</v>
      </c>
      <c r="E114" s="186" t="s">
        <v>169</v>
      </c>
      <c r="F114" s="187" t="s">
        <v>3</v>
      </c>
      <c r="G114" s="188">
        <v>300000</v>
      </c>
      <c r="H114" s="187" t="s">
        <v>3</v>
      </c>
      <c r="I114" s="187" t="s">
        <v>3</v>
      </c>
      <c r="J114" s="190">
        <v>300000</v>
      </c>
      <c r="K114" s="175"/>
    </row>
    <row r="115" spans="2:11" ht="13.5" x14ac:dyDescent="0.35">
      <c r="B115" s="194" t="s">
        <v>37</v>
      </c>
      <c r="C115" s="207" t="s">
        <v>183</v>
      </c>
      <c r="D115" s="207" t="s">
        <v>165</v>
      </c>
      <c r="E115" s="186" t="s">
        <v>169</v>
      </c>
      <c r="F115" s="187" t="s">
        <v>3</v>
      </c>
      <c r="G115" s="188">
        <v>199000</v>
      </c>
      <c r="H115" s="187" t="s">
        <v>3</v>
      </c>
      <c r="I115" s="187" t="s">
        <v>3</v>
      </c>
      <c r="J115" s="190">
        <v>199000</v>
      </c>
      <c r="K115" s="175"/>
    </row>
    <row r="116" spans="2:11" ht="13.5" x14ac:dyDescent="0.35">
      <c r="B116" s="194" t="s">
        <v>38</v>
      </c>
      <c r="C116" s="207" t="s">
        <v>183</v>
      </c>
      <c r="D116" s="207" t="s">
        <v>165</v>
      </c>
      <c r="E116" s="186" t="s">
        <v>169</v>
      </c>
      <c r="F116" s="188">
        <v>19000</v>
      </c>
      <c r="G116" s="188">
        <v>1000</v>
      </c>
      <c r="H116" s="187" t="s">
        <v>3</v>
      </c>
      <c r="I116" s="187" t="s">
        <v>3</v>
      </c>
      <c r="J116" s="190">
        <v>20000</v>
      </c>
      <c r="K116" s="175"/>
    </row>
    <row r="117" spans="2:11" ht="13.5" x14ac:dyDescent="0.35">
      <c r="B117" s="194" t="s">
        <v>35</v>
      </c>
      <c r="C117" s="207" t="s">
        <v>184</v>
      </c>
      <c r="D117" s="207" t="s">
        <v>165</v>
      </c>
      <c r="E117" s="186" t="s">
        <v>169</v>
      </c>
      <c r="F117" s="187" t="s">
        <v>3</v>
      </c>
      <c r="G117" s="188">
        <v>633000</v>
      </c>
      <c r="H117" s="187" t="s">
        <v>3</v>
      </c>
      <c r="I117" s="187" t="s">
        <v>3</v>
      </c>
      <c r="J117" s="190">
        <v>633000</v>
      </c>
      <c r="K117" s="175"/>
    </row>
    <row r="118" spans="2:11" ht="13.5" x14ac:dyDescent="0.35">
      <c r="B118" s="194" t="s">
        <v>45</v>
      </c>
      <c r="C118" s="207" t="s">
        <v>183</v>
      </c>
      <c r="D118" s="207" t="s">
        <v>165</v>
      </c>
      <c r="E118" s="186" t="s">
        <v>169</v>
      </c>
      <c r="F118" s="187" t="s">
        <v>3</v>
      </c>
      <c r="G118" s="188">
        <v>27000</v>
      </c>
      <c r="H118" s="187" t="s">
        <v>3</v>
      </c>
      <c r="I118" s="187" t="s">
        <v>3</v>
      </c>
      <c r="J118" s="190">
        <v>27000</v>
      </c>
      <c r="K118" s="175"/>
    </row>
    <row r="119" spans="2:11" x14ac:dyDescent="0.35">
      <c r="B119" s="215"/>
      <c r="C119" s="224"/>
      <c r="D119" s="224"/>
      <c r="E119" s="200"/>
      <c r="F119" s="201"/>
      <c r="G119" s="201"/>
      <c r="H119" s="201"/>
      <c r="I119" s="201"/>
      <c r="J119" s="202"/>
    </row>
    <row r="120" spans="2:11" x14ac:dyDescent="0.35">
      <c r="B120" s="216" t="s">
        <v>2</v>
      </c>
      <c r="C120" s="225"/>
      <c r="D120" s="225"/>
      <c r="E120" s="203"/>
      <c r="F120" s="204">
        <v>9671824.5523752738</v>
      </c>
      <c r="G120" s="204">
        <v>22613171.213803351</v>
      </c>
      <c r="H120" s="204">
        <v>3266646.496824936</v>
      </c>
      <c r="I120" s="204">
        <v>4338476.8836063901</v>
      </c>
      <c r="J120" s="205">
        <v>39982972.523436353</v>
      </c>
    </row>
    <row r="121" spans="2:11" x14ac:dyDescent="0.35">
      <c r="B121" s="217"/>
      <c r="C121" s="206"/>
      <c r="D121" s="206"/>
      <c r="E121" s="206" t="s">
        <v>15</v>
      </c>
      <c r="F121" s="193">
        <v>12938471.049200211</v>
      </c>
      <c r="G121" s="186"/>
      <c r="H121" s="186"/>
      <c r="I121" s="207"/>
      <c r="J121" s="193">
        <v>39890119.146609947</v>
      </c>
    </row>
    <row r="122" spans="2:11" x14ac:dyDescent="0.35">
      <c r="B122" s="218"/>
      <c r="C122" s="206"/>
      <c r="D122" s="206"/>
      <c r="E122" s="208"/>
      <c r="F122" s="209"/>
      <c r="G122" s="209"/>
      <c r="H122" s="209"/>
      <c r="I122" s="209"/>
      <c r="J122" s="209"/>
    </row>
    <row r="123" spans="2:11" x14ac:dyDescent="0.35">
      <c r="B123" s="219" t="s">
        <v>2</v>
      </c>
      <c r="C123" s="226"/>
      <c r="D123" s="226"/>
      <c r="E123" s="210" t="s">
        <v>29</v>
      </c>
      <c r="F123" s="211">
        <v>9674817.0523752738</v>
      </c>
      <c r="G123" s="211">
        <v>22640103.713803351</v>
      </c>
      <c r="H123" s="211">
        <v>3266646.496824936</v>
      </c>
      <c r="I123" s="211">
        <v>4338476.8836063901</v>
      </c>
      <c r="J123" s="211">
        <v>39920044.146609947</v>
      </c>
    </row>
    <row r="124" spans="2:11" ht="13.5" x14ac:dyDescent="0.35">
      <c r="B124" s="181"/>
      <c r="C124" s="181"/>
      <c r="D124" s="181"/>
      <c r="E124" s="243" t="s">
        <v>219</v>
      </c>
      <c r="F124" s="244"/>
      <c r="G124" s="244"/>
      <c r="H124" s="244"/>
      <c r="I124" s="244"/>
      <c r="J124" s="244"/>
    </row>
    <row r="125" spans="2:11" ht="13.9" x14ac:dyDescent="0.4">
      <c r="B125" s="245"/>
      <c r="C125" s="246"/>
      <c r="D125" s="246"/>
      <c r="E125" s="246" t="s">
        <v>23</v>
      </c>
      <c r="F125" s="247">
        <f>F123/$J123</f>
        <v>0.24235486856787131</v>
      </c>
      <c r="G125" s="247">
        <f>G123/$J123</f>
        <v>0.56713623939531577</v>
      </c>
      <c r="H125" s="247">
        <f>H123/$J123</f>
        <v>8.1829731571134628E-2</v>
      </c>
      <c r="I125" s="247">
        <f>I123/$J123</f>
        <v>0.10867916046567845</v>
      </c>
      <c r="J125" s="247">
        <f>J123/$J123</f>
        <v>1</v>
      </c>
    </row>
    <row r="126" spans="2:11" ht="13.9" x14ac:dyDescent="0.4">
      <c r="B126" s="246"/>
      <c r="C126" s="246"/>
      <c r="D126" s="246"/>
      <c r="E126" s="246"/>
      <c r="F126" s="247"/>
      <c r="G126" s="247"/>
      <c r="H126" s="247"/>
      <c r="I126" s="247"/>
      <c r="J126" s="182">
        <f>SUM(F125:I125)</f>
        <v>1</v>
      </c>
    </row>
    <row r="127" spans="2:11" ht="13.5" x14ac:dyDescent="0.35">
      <c r="B127" s="245"/>
      <c r="C127" s="245"/>
      <c r="D127" s="245"/>
      <c r="E127" s="245"/>
      <c r="F127" s="248"/>
      <c r="G127" s="248"/>
      <c r="H127" s="248"/>
      <c r="I127" s="248"/>
      <c r="J127" s="248"/>
    </row>
    <row r="128" spans="2:11" ht="13.9" x14ac:dyDescent="0.4">
      <c r="B128" s="179"/>
      <c r="C128" s="180"/>
      <c r="D128" s="179"/>
      <c r="E128" s="179"/>
      <c r="F128" s="249"/>
      <c r="G128" s="249"/>
      <c r="H128" s="249"/>
      <c r="I128" s="250"/>
      <c r="J128" s="251"/>
    </row>
    <row r="129" spans="2:10" ht="13.9" x14ac:dyDescent="0.4">
      <c r="B129" s="252" t="s">
        <v>168</v>
      </c>
      <c r="C129" s="171"/>
      <c r="D129" s="171"/>
      <c r="E129" s="245"/>
      <c r="F129" s="253">
        <f>0.1*$J138</f>
        <v>2992.5</v>
      </c>
      <c r="G129" s="253">
        <f>0.9*$J138</f>
        <v>26932.5</v>
      </c>
      <c r="H129" s="253">
        <v>0</v>
      </c>
      <c r="I129" s="253">
        <v>0</v>
      </c>
      <c r="J129" s="254"/>
    </row>
    <row r="130" spans="2:10" ht="13.9" x14ac:dyDescent="0.4">
      <c r="B130" s="252"/>
      <c r="C130" s="245"/>
      <c r="D130" s="245"/>
      <c r="E130" s="245"/>
      <c r="F130" s="255">
        <v>141600</v>
      </c>
      <c r="G130" s="255">
        <v>445420</v>
      </c>
      <c r="H130" s="255">
        <v>114880</v>
      </c>
      <c r="I130" s="253"/>
      <c r="J130" s="245"/>
    </row>
    <row r="131" spans="2:10" ht="13.9" x14ac:dyDescent="0.4">
      <c r="B131" s="256" t="s">
        <v>174</v>
      </c>
      <c r="C131" s="245"/>
      <c r="D131" s="245"/>
      <c r="E131" s="245"/>
      <c r="F131" s="257">
        <f>F96/F130</f>
        <v>1.4228813559322033</v>
      </c>
      <c r="G131" s="257">
        <f>G96/G130</f>
        <v>1.1574469040456199</v>
      </c>
      <c r="H131" s="253"/>
      <c r="I131" s="253"/>
      <c r="J131" s="245"/>
    </row>
    <row r="132" spans="2:10" ht="13.9" x14ac:dyDescent="0.4">
      <c r="B132" s="252" t="s">
        <v>49</v>
      </c>
      <c r="C132" s="245"/>
      <c r="D132" s="245"/>
      <c r="E132" s="245"/>
      <c r="F132" s="253">
        <f t="shared" ref="F132:F137" si="0">0.1*$J132</f>
        <v>0</v>
      </c>
      <c r="G132" s="253">
        <f t="shared" ref="G132:G137" si="1">0.9*$J132</f>
        <v>0</v>
      </c>
      <c r="H132" s="253">
        <v>0</v>
      </c>
      <c r="I132" s="253">
        <v>0</v>
      </c>
      <c r="J132" s="253"/>
    </row>
    <row r="133" spans="2:10" ht="13.9" x14ac:dyDescent="0.4">
      <c r="B133" s="252" t="s">
        <v>48</v>
      </c>
      <c r="C133" s="245"/>
      <c r="D133" s="245"/>
      <c r="E133" s="245"/>
      <c r="F133" s="253">
        <f t="shared" si="0"/>
        <v>0</v>
      </c>
      <c r="G133" s="253">
        <f t="shared" si="1"/>
        <v>0</v>
      </c>
      <c r="H133" s="253">
        <v>0</v>
      </c>
      <c r="I133" s="253">
        <v>0</v>
      </c>
      <c r="J133" s="245">
        <v>0</v>
      </c>
    </row>
    <row r="134" spans="2:10" ht="13.9" x14ac:dyDescent="0.4">
      <c r="B134" s="252" t="s">
        <v>47</v>
      </c>
      <c r="C134" s="245"/>
      <c r="D134" s="245"/>
      <c r="E134" s="245"/>
      <c r="F134" s="253">
        <f t="shared" si="0"/>
        <v>0</v>
      </c>
      <c r="G134" s="253">
        <f t="shared" si="1"/>
        <v>0</v>
      </c>
      <c r="H134" s="253">
        <v>0</v>
      </c>
      <c r="I134" s="253">
        <v>0</v>
      </c>
      <c r="J134" s="245">
        <v>0</v>
      </c>
    </row>
    <row r="135" spans="2:10" ht="13.9" x14ac:dyDescent="0.4">
      <c r="B135" s="252" t="s">
        <v>10</v>
      </c>
      <c r="C135" s="245"/>
      <c r="D135" s="245"/>
      <c r="E135" s="245"/>
      <c r="F135" s="253">
        <f t="shared" si="0"/>
        <v>0</v>
      </c>
      <c r="G135" s="253">
        <f t="shared" si="1"/>
        <v>0</v>
      </c>
      <c r="H135" s="253">
        <v>0</v>
      </c>
      <c r="I135" s="253">
        <v>0</v>
      </c>
      <c r="J135" s="253">
        <v>0</v>
      </c>
    </row>
    <row r="136" spans="2:10" ht="13.9" x14ac:dyDescent="0.4">
      <c r="B136" s="252" t="s">
        <v>9</v>
      </c>
      <c r="C136" s="246"/>
      <c r="D136" s="246"/>
      <c r="E136" s="246"/>
      <c r="F136" s="253">
        <f>0.1*$J136</f>
        <v>2992.5</v>
      </c>
      <c r="G136" s="253">
        <f t="shared" si="1"/>
        <v>26932.5</v>
      </c>
      <c r="H136" s="253">
        <v>0</v>
      </c>
      <c r="I136" s="253">
        <v>0</v>
      </c>
      <c r="J136" s="175">
        <f>J77+J88</f>
        <v>29925</v>
      </c>
    </row>
    <row r="137" spans="2:10" ht="13.9" x14ac:dyDescent="0.4">
      <c r="B137" s="252" t="s">
        <v>50</v>
      </c>
      <c r="C137" s="245"/>
      <c r="D137" s="245"/>
      <c r="E137" s="245"/>
      <c r="F137" s="253">
        <f t="shared" si="0"/>
        <v>0</v>
      </c>
      <c r="G137" s="253">
        <f t="shared" si="1"/>
        <v>0</v>
      </c>
      <c r="H137" s="253">
        <v>0</v>
      </c>
      <c r="I137" s="253">
        <v>0</v>
      </c>
      <c r="J137" s="258"/>
    </row>
    <row r="138" spans="2:10" ht="13.15" x14ac:dyDescent="0.4">
      <c r="B138" s="245"/>
      <c r="C138" s="245"/>
      <c r="D138" s="245"/>
      <c r="E138" s="245"/>
      <c r="F138" s="245"/>
      <c r="G138" s="245"/>
      <c r="H138" s="245"/>
      <c r="I138" s="245"/>
      <c r="J138" s="259">
        <f>SUM(J132:J137)</f>
        <v>29925</v>
      </c>
    </row>
    <row r="139" spans="2:10" x14ac:dyDescent="0.35">
      <c r="B139" s="245"/>
      <c r="C139" s="245"/>
      <c r="D139" s="245"/>
      <c r="E139" s="245"/>
      <c r="F139" s="245"/>
      <c r="G139" s="245"/>
      <c r="H139" s="245"/>
      <c r="I139" s="245"/>
      <c r="J139" s="245"/>
    </row>
    <row r="140" spans="2:10" x14ac:dyDescent="0.35">
      <c r="B140" s="245" t="s">
        <v>321</v>
      </c>
      <c r="C140" s="245"/>
      <c r="D140" s="245"/>
      <c r="E140" s="245"/>
      <c r="F140" s="245"/>
      <c r="G140" s="245"/>
      <c r="H140" s="245"/>
      <c r="I140" s="245"/>
      <c r="J140" s="260">
        <v>3200000000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50"/>
  <sheetViews>
    <sheetView topLeftCell="A64" zoomScale="60" zoomScaleNormal="60" workbookViewId="0">
      <pane xSplit="2" topLeftCell="C1" activePane="topRight" state="frozen"/>
      <selection activeCell="A20" sqref="A20"/>
      <selection pane="topRight" activeCell="I115" sqref="I113:I115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215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7395777.3144899979</v>
      </c>
      <c r="G4" s="17">
        <f t="shared" ref="G4:I4" si="0">SUBTOTAL(9,G9:G118)</f>
        <v>15699556.194149997</v>
      </c>
      <c r="H4" s="17">
        <f t="shared" si="0"/>
        <v>2044788.68613</v>
      </c>
      <c r="I4" s="17">
        <f t="shared" si="0"/>
        <v>4600213.1600399995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5" t="s">
        <v>46</v>
      </c>
      <c r="C10" s="58"/>
      <c r="D10" s="76" t="s">
        <v>165</v>
      </c>
      <c r="E10" s="56" t="s">
        <v>169</v>
      </c>
      <c r="F10" s="68" t="s">
        <v>3</v>
      </c>
      <c r="G10" s="83">
        <v>56200</v>
      </c>
      <c r="H10" s="68" t="s">
        <v>3</v>
      </c>
      <c r="I10" s="68" t="s">
        <v>3</v>
      </c>
      <c r="J10" s="46">
        <f>SUM(F10:I10)</f>
        <v>56200</v>
      </c>
      <c r="K10" s="72" t="s">
        <v>279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831</v>
      </c>
      <c r="H11" s="83">
        <v>0</v>
      </c>
      <c r="I11" s="83">
        <v>0</v>
      </c>
      <c r="J11" s="46">
        <f>SUM(F11:I11)</f>
        <v>831</v>
      </c>
      <c r="K11" s="45" t="s">
        <v>199</v>
      </c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654</v>
      </c>
      <c r="H12" s="83">
        <v>0</v>
      </c>
      <c r="I12" s="83">
        <v>0</v>
      </c>
      <c r="J12" s="46">
        <f t="shared" ref="J12:J26" si="1">SUM(F12:I12)</f>
        <v>654</v>
      </c>
      <c r="K12" s="45" t="s">
        <v>199</v>
      </c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83">
        <v>0</v>
      </c>
      <c r="G13" s="83">
        <v>1919</v>
      </c>
      <c r="H13" s="83">
        <v>0</v>
      </c>
      <c r="I13" s="83">
        <v>0</v>
      </c>
      <c r="J13" s="46">
        <f t="shared" si="1"/>
        <v>1919</v>
      </c>
      <c r="K13" s="45" t="s">
        <v>199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138">
        <v>28780</v>
      </c>
      <c r="H14" s="83">
        <v>0</v>
      </c>
      <c r="I14" s="83">
        <v>0</v>
      </c>
      <c r="J14" s="46">
        <f t="shared" si="1"/>
        <v>28780</v>
      </c>
      <c r="K14" s="45" t="s">
        <v>199</v>
      </c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138">
        <v>91</v>
      </c>
      <c r="H15" s="83">
        <v>0</v>
      </c>
      <c r="I15" s="83">
        <v>0</v>
      </c>
      <c r="J15" s="46">
        <f t="shared" si="1"/>
        <v>91</v>
      </c>
      <c r="K15" s="45" t="s">
        <v>199</v>
      </c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45">
        <v>0</v>
      </c>
      <c r="G16" s="139">
        <v>2515</v>
      </c>
      <c r="H16" s="45">
        <v>0</v>
      </c>
      <c r="I16" s="45">
        <v>0</v>
      </c>
      <c r="J16" s="46">
        <f t="shared" si="1"/>
        <v>2515</v>
      </c>
      <c r="K16" s="45" t="s">
        <v>199</v>
      </c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45">
        <v>0</v>
      </c>
      <c r="G17" s="139">
        <v>14240</v>
      </c>
      <c r="H17" s="45">
        <v>0</v>
      </c>
      <c r="I17" s="45">
        <v>0</v>
      </c>
      <c r="J17" s="46">
        <f t="shared" si="1"/>
        <v>14240</v>
      </c>
      <c r="K17" s="45" t="s">
        <v>199</v>
      </c>
    </row>
    <row r="18" spans="1:11" ht="13.9" x14ac:dyDescent="0.4">
      <c r="A18" s="41"/>
      <c r="B18" s="2" t="s">
        <v>104</v>
      </c>
      <c r="C18" s="13" t="s">
        <v>184</v>
      </c>
      <c r="D18" s="13"/>
      <c r="E18" s="2" t="s">
        <v>52</v>
      </c>
      <c r="F18" s="19">
        <v>25965.69</v>
      </c>
      <c r="G18" s="19">
        <v>61741.283000000003</v>
      </c>
      <c r="H18" s="19">
        <v>0</v>
      </c>
      <c r="I18" s="19">
        <v>92590.656000000003</v>
      </c>
      <c r="J18" s="24">
        <f t="shared" ref="J18:J27" si="2">SUM(F18:I18)</f>
        <v>180297.62900000002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13606</v>
      </c>
      <c r="H19" s="83">
        <v>0</v>
      </c>
      <c r="I19" s="83">
        <v>0</v>
      </c>
      <c r="J19" s="46">
        <f t="shared" si="1"/>
        <v>13606</v>
      </c>
      <c r="K19" s="45" t="s">
        <v>199</v>
      </c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1738</v>
      </c>
      <c r="H20" s="83">
        <v>0</v>
      </c>
      <c r="I20" s="83">
        <v>0</v>
      </c>
      <c r="J20" s="46">
        <f t="shared" si="1"/>
        <v>1738</v>
      </c>
      <c r="K20" s="45" t="s">
        <v>234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120">
        <v>0</v>
      </c>
      <c r="G21" s="120">
        <v>90000</v>
      </c>
      <c r="H21" s="120">
        <v>0</v>
      </c>
      <c r="I21" s="120">
        <v>0</v>
      </c>
      <c r="J21" s="121">
        <f t="shared" si="1"/>
        <v>90000</v>
      </c>
      <c r="K21" s="120" t="s">
        <v>212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45">
        <v>2544</v>
      </c>
      <c r="H22" s="45">
        <v>0</v>
      </c>
      <c r="I22" s="45">
        <v>0</v>
      </c>
      <c r="J22" s="46">
        <f t="shared" si="1"/>
        <v>2544</v>
      </c>
      <c r="K22" s="45" t="s">
        <v>199</v>
      </c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15144.39882</v>
      </c>
      <c r="G23" s="22">
        <f>29759.56423+6634.02224</f>
        <v>36393.586470000002</v>
      </c>
      <c r="H23" s="22">
        <v>3936.80771</v>
      </c>
      <c r="I23" s="22">
        <v>0</v>
      </c>
      <c r="J23" s="24">
        <f t="shared" si="2"/>
        <v>55474.793000000005</v>
      </c>
      <c r="K23" s="3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45">
        <v>1186</v>
      </c>
      <c r="H24" s="45">
        <v>0</v>
      </c>
      <c r="I24" s="45">
        <v>0</v>
      </c>
      <c r="J24" s="46">
        <f t="shared" si="1"/>
        <v>1186</v>
      </c>
      <c r="K24" s="45" t="s">
        <v>199</v>
      </c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9305.5895400000009</v>
      </c>
      <c r="G25" s="22">
        <v>46040.972289999998</v>
      </c>
      <c r="H25" s="19">
        <v>6138.7429700000002</v>
      </c>
      <c r="I25" s="19">
        <v>70050.194510000001</v>
      </c>
      <c r="J25" s="24">
        <f t="shared" si="2"/>
        <v>131535.49930999998</v>
      </c>
      <c r="K25" s="116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45">
        <v>14238</v>
      </c>
      <c r="H26" s="83">
        <v>0</v>
      </c>
      <c r="I26" s="83">
        <v>0</v>
      </c>
      <c r="J26" s="46">
        <f t="shared" si="1"/>
        <v>14238</v>
      </c>
      <c r="K26" s="45" t="s">
        <v>199</v>
      </c>
    </row>
    <row r="27" spans="1:11" s="66" customFormat="1" ht="13.9" x14ac:dyDescent="0.4">
      <c r="A27" s="64"/>
      <c r="B27" s="2" t="s">
        <v>106</v>
      </c>
      <c r="C27" s="13" t="s">
        <v>184</v>
      </c>
      <c r="D27" s="13"/>
      <c r="E27" s="2" t="s">
        <v>55</v>
      </c>
      <c r="F27" s="140">
        <v>13250</v>
      </c>
      <c r="G27" s="140">
        <v>117250</v>
      </c>
      <c r="H27" s="140">
        <v>0</v>
      </c>
      <c r="I27" s="140">
        <v>0</v>
      </c>
      <c r="J27" s="141">
        <f t="shared" si="2"/>
        <v>130500</v>
      </c>
      <c r="K27" s="80"/>
    </row>
    <row r="28" spans="1:11" s="66" customFormat="1" ht="13.9" x14ac:dyDescent="0.4">
      <c r="A28" s="64"/>
      <c r="B28" s="72" t="s">
        <v>217</v>
      </c>
      <c r="C28" s="71"/>
      <c r="D28" s="71" t="s">
        <v>165</v>
      </c>
      <c r="E28" s="72" t="s">
        <v>169</v>
      </c>
      <c r="F28" s="148" t="s">
        <v>3</v>
      </c>
      <c r="G28" s="148">
        <v>12700</v>
      </c>
      <c r="H28" s="148" t="s">
        <v>3</v>
      </c>
      <c r="I28" s="148" t="s">
        <v>3</v>
      </c>
      <c r="J28" s="46">
        <f>SUM(F28:I28)</f>
        <v>12700</v>
      </c>
      <c r="K28" s="45" t="s">
        <v>279</v>
      </c>
    </row>
    <row r="29" spans="1:11" s="66" customFormat="1" ht="13.9" x14ac:dyDescent="0.4">
      <c r="A29" s="64"/>
      <c r="B29" s="72" t="s">
        <v>197</v>
      </c>
      <c r="C29" s="71"/>
      <c r="D29" s="71" t="s">
        <v>186</v>
      </c>
      <c r="E29" s="72" t="s">
        <v>187</v>
      </c>
      <c r="F29" s="45">
        <v>0</v>
      </c>
      <c r="G29" s="138">
        <v>516</v>
      </c>
      <c r="H29" s="45">
        <v>0</v>
      </c>
      <c r="I29" s="45">
        <v>0</v>
      </c>
      <c r="J29" s="46">
        <f t="shared" ref="J29:J30" si="3">SUM(F29:I29)</f>
        <v>516</v>
      </c>
      <c r="K29" s="45" t="s">
        <v>199</v>
      </c>
    </row>
    <row r="30" spans="1:11" s="66" customFormat="1" ht="13.9" x14ac:dyDescent="0.4">
      <c r="A30" s="64"/>
      <c r="B30" s="72" t="s">
        <v>198</v>
      </c>
      <c r="C30" s="71"/>
      <c r="D30" s="71" t="s">
        <v>186</v>
      </c>
      <c r="E30" s="72" t="s">
        <v>187</v>
      </c>
      <c r="F30" s="45">
        <v>0</v>
      </c>
      <c r="G30" s="138">
        <v>1056</v>
      </c>
      <c r="H30" s="45">
        <v>0</v>
      </c>
      <c r="I30" s="45">
        <v>0</v>
      </c>
      <c r="J30" s="46">
        <f t="shared" si="3"/>
        <v>1056</v>
      </c>
      <c r="K30" s="45" t="s">
        <v>199</v>
      </c>
    </row>
    <row r="31" spans="1:11" ht="13.9" x14ac:dyDescent="0.4">
      <c r="A31" s="41"/>
      <c r="B31" s="8" t="s">
        <v>107</v>
      </c>
      <c r="C31" s="20" t="s">
        <v>184</v>
      </c>
      <c r="D31" s="20" t="s">
        <v>165</v>
      </c>
      <c r="E31" s="8" t="s">
        <v>56</v>
      </c>
      <c r="F31" s="9" t="s">
        <v>3</v>
      </c>
      <c r="G31" s="19">
        <v>29900</v>
      </c>
      <c r="H31" s="9" t="s">
        <v>3</v>
      </c>
      <c r="I31" s="9" t="s">
        <v>3</v>
      </c>
      <c r="J31" s="24">
        <f>SUM(F31:I31)</f>
        <v>29900</v>
      </c>
      <c r="K31" s="23" t="s">
        <v>278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04"/>
      <c r="G32" s="104"/>
      <c r="H32" s="104"/>
      <c r="I32" s="104"/>
      <c r="J32" s="34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38815.743000000002</v>
      </c>
      <c r="G34" s="22">
        <v>77631.486000000004</v>
      </c>
      <c r="H34" s="22">
        <v>36532.464</v>
      </c>
      <c r="I34" s="22">
        <v>0</v>
      </c>
      <c r="J34" s="24">
        <f>SUM(F34:I34)</f>
        <v>152979.693</v>
      </c>
      <c r="K34" s="32"/>
    </row>
    <row r="35" spans="1:11" ht="13.9" x14ac:dyDescent="0.4">
      <c r="A35" s="42"/>
      <c r="B35" s="2" t="s">
        <v>110</v>
      </c>
      <c r="C35" s="13" t="s">
        <v>184</v>
      </c>
      <c r="D35" s="13"/>
      <c r="E35" s="2" t="s">
        <v>111</v>
      </c>
      <c r="F35" s="22">
        <v>285740.31</v>
      </c>
      <c r="G35" s="22">
        <v>914565.924</v>
      </c>
      <c r="H35" s="22">
        <v>355731.56800000003</v>
      </c>
      <c r="I35" s="22">
        <v>50695.536999999997</v>
      </c>
      <c r="J35" s="24">
        <f>SUM(F35:I35)</f>
        <v>1606733.3389999999</v>
      </c>
      <c r="K35" s="8" t="s">
        <v>211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04"/>
      <c r="G36" s="104"/>
      <c r="H36" s="104"/>
      <c r="I36" s="104"/>
      <c r="J36" s="104"/>
      <c r="K36" s="104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15889.602000000001</v>
      </c>
      <c r="G37" s="45">
        <v>87234.608999999997</v>
      </c>
      <c r="H37" s="45">
        <v>0</v>
      </c>
      <c r="I37" s="45">
        <v>0</v>
      </c>
      <c r="J37" s="46">
        <f t="shared" ref="J37:J54" si="4">SUM(F37:I37)</f>
        <v>103124.211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267.2</v>
      </c>
      <c r="G38" s="45">
        <v>14824</v>
      </c>
      <c r="H38" s="45">
        <v>0</v>
      </c>
      <c r="I38" s="45">
        <v>0</v>
      </c>
      <c r="J38" s="46">
        <f t="shared" si="4"/>
        <v>15091.2</v>
      </c>
      <c r="K38" s="56" t="s">
        <v>167</v>
      </c>
    </row>
    <row r="39" spans="1:11" ht="13.9" x14ac:dyDescent="0.4">
      <c r="A39" s="75"/>
      <c r="B39" s="8" t="s">
        <v>139</v>
      </c>
      <c r="C39" s="20" t="s">
        <v>184</v>
      </c>
      <c r="D39" s="69" t="s">
        <v>164</v>
      </c>
      <c r="E39" s="23" t="s">
        <v>152</v>
      </c>
      <c r="F39" s="22">
        <v>75462.149000000005</v>
      </c>
      <c r="G39" s="22">
        <v>796066.18400000001</v>
      </c>
      <c r="H39" s="22">
        <v>35838.298000000003</v>
      </c>
      <c r="I39" s="22">
        <v>125422.811</v>
      </c>
      <c r="J39" s="24">
        <f t="shared" si="4"/>
        <v>1032789.4419999999</v>
      </c>
      <c r="K39" s="8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29450.274000000001</v>
      </c>
      <c r="G40" s="45">
        <v>117267.789</v>
      </c>
      <c r="H40" s="45">
        <v>0</v>
      </c>
      <c r="I40" s="45">
        <v>0</v>
      </c>
      <c r="J40" s="46">
        <f t="shared" si="4"/>
        <v>146718.06299999999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7788.415</v>
      </c>
      <c r="G41" s="45">
        <v>103200.863</v>
      </c>
      <c r="H41" s="45">
        <v>0</v>
      </c>
      <c r="I41" s="45">
        <v>9000</v>
      </c>
      <c r="J41" s="46">
        <f t="shared" si="4"/>
        <v>119989.27799999999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1113.175</v>
      </c>
      <c r="G42" s="45">
        <v>13954.699000000001</v>
      </c>
      <c r="H42" s="45">
        <v>0</v>
      </c>
      <c r="I42" s="45">
        <v>0</v>
      </c>
      <c r="J42" s="46">
        <f t="shared" si="4"/>
        <v>15067.874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9018.7549999999992</v>
      </c>
      <c r="G43" s="45">
        <v>13998.495999999999</v>
      </c>
      <c r="H43" s="45">
        <v>0</v>
      </c>
      <c r="I43" s="45">
        <v>0</v>
      </c>
      <c r="J43" s="46">
        <f t="shared" si="4"/>
        <v>23017.250999999997</v>
      </c>
      <c r="K43" s="56" t="s">
        <v>167</v>
      </c>
    </row>
    <row r="44" spans="1:11" ht="13.9" x14ac:dyDescent="0.4">
      <c r="A44" s="75"/>
      <c r="B44" s="23" t="s">
        <v>112</v>
      </c>
      <c r="C44" s="13" t="s">
        <v>184</v>
      </c>
      <c r="D44" s="69" t="s">
        <v>164</v>
      </c>
      <c r="E44" s="23" t="s">
        <v>152</v>
      </c>
      <c r="F44" s="83">
        <v>42004.120999999999</v>
      </c>
      <c r="G44" s="83">
        <v>59132.457999999999</v>
      </c>
      <c r="H44" s="83">
        <v>0</v>
      </c>
      <c r="I44" s="83">
        <v>2500</v>
      </c>
      <c r="J44" s="46">
        <f t="shared" si="4"/>
        <v>103636.579</v>
      </c>
      <c r="K44" s="93" t="s">
        <v>229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1200</v>
      </c>
      <c r="G45" s="83">
        <v>12550.186</v>
      </c>
      <c r="H45" s="83">
        <v>0</v>
      </c>
      <c r="I45" s="83">
        <v>0</v>
      </c>
      <c r="J45" s="46">
        <f>SUM(F45:I45)</f>
        <v>13750.186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590.80600000000004</v>
      </c>
      <c r="G46" s="83">
        <v>25807.364000000001</v>
      </c>
      <c r="H46" s="83">
        <v>0</v>
      </c>
      <c r="I46" s="83">
        <v>0</v>
      </c>
      <c r="J46" s="46">
        <f t="shared" si="4"/>
        <v>26398.170000000002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572.779</v>
      </c>
      <c r="G47" s="83">
        <v>8211.4390000000003</v>
      </c>
      <c r="H47" s="83">
        <v>0</v>
      </c>
      <c r="I47" s="83">
        <v>0</v>
      </c>
      <c r="J47" s="46">
        <f t="shared" si="4"/>
        <v>8784.2180000000008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120153.1</v>
      </c>
      <c r="G48" s="83">
        <v>359049.33199999999</v>
      </c>
      <c r="H48" s="83">
        <v>0</v>
      </c>
      <c r="I48" s="83">
        <v>211650</v>
      </c>
      <c r="J48" s="46">
        <f t="shared" si="4"/>
        <v>690852.43200000003</v>
      </c>
      <c r="K48" s="56" t="s">
        <v>167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4054.172</v>
      </c>
      <c r="H49" s="83">
        <v>0</v>
      </c>
      <c r="I49" s="83">
        <v>0</v>
      </c>
      <c r="J49" s="46">
        <f t="shared" si="4"/>
        <v>4054.172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28356.879000000001</v>
      </c>
      <c r="G50" s="83">
        <v>22545.920999999998</v>
      </c>
      <c r="H50" s="83">
        <v>0</v>
      </c>
      <c r="I50" s="83">
        <v>0</v>
      </c>
      <c r="J50" s="46">
        <f t="shared" si="4"/>
        <v>50902.8</v>
      </c>
      <c r="K50" s="56" t="s">
        <v>264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1701.799</v>
      </c>
      <c r="G51" s="83">
        <v>13364.628000000001</v>
      </c>
      <c r="H51" s="83">
        <v>0</v>
      </c>
      <c r="I51" s="83">
        <v>0</v>
      </c>
      <c r="J51" s="46">
        <f t="shared" si="4"/>
        <v>15066.427</v>
      </c>
      <c r="K51" s="56" t="s">
        <v>240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23934.672999999999</v>
      </c>
      <c r="G52" s="83">
        <v>63679.334000000003</v>
      </c>
      <c r="H52" s="83">
        <v>0</v>
      </c>
      <c r="I52" s="83">
        <v>3500</v>
      </c>
      <c r="J52" s="46">
        <f t="shared" si="4"/>
        <v>91114.006999999998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12000</v>
      </c>
      <c r="G53" s="83">
        <v>30690.085999999999</v>
      </c>
      <c r="H53" s="83">
        <v>0</v>
      </c>
      <c r="I53" s="83">
        <v>0</v>
      </c>
      <c r="J53" s="46">
        <f t="shared" si="4"/>
        <v>42690.085999999996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72" t="s">
        <v>152</v>
      </c>
      <c r="F54" s="83">
        <v>5427.8069999999998</v>
      </c>
      <c r="G54" s="83">
        <v>30832.933000000001</v>
      </c>
      <c r="H54" s="83">
        <v>0</v>
      </c>
      <c r="I54" s="83">
        <v>80000</v>
      </c>
      <c r="J54" s="46">
        <f t="shared" si="4"/>
        <v>116260.73999999999</v>
      </c>
      <c r="K54" s="56" t="s">
        <v>232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04"/>
      <c r="G55" s="104"/>
      <c r="H55" s="104"/>
      <c r="I55" s="104"/>
      <c r="J55" s="34"/>
      <c r="K55" s="104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66000</v>
      </c>
      <c r="G56" s="22">
        <v>217000</v>
      </c>
      <c r="H56" s="22">
        <v>45000</v>
      </c>
      <c r="I56" s="22">
        <v>0</v>
      </c>
      <c r="J56" s="24">
        <f t="shared" ref="J56:J70" si="5">SUM(F56:I56)</f>
        <v>328000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887821.85600000003</v>
      </c>
      <c r="G57" s="22">
        <v>1420514.969</v>
      </c>
      <c r="H57" s="22"/>
      <c r="I57" s="22"/>
      <c r="J57" s="24">
        <f>SUM(F57:I57)</f>
        <v>2308336.8250000002</v>
      </c>
      <c r="K57" s="22" t="s">
        <v>228</v>
      </c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36116.633000000002</v>
      </c>
      <c r="G58" s="22">
        <v>121416.433</v>
      </c>
      <c r="H58" s="22">
        <v>0</v>
      </c>
      <c r="I58" s="22">
        <v>0</v>
      </c>
      <c r="J58" s="24">
        <f t="shared" si="5"/>
        <v>157533.06599999999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42003.076999999997</v>
      </c>
      <c r="G59" s="22">
        <v>113781.28200000001</v>
      </c>
      <c r="H59" s="22">
        <v>18721.153999999999</v>
      </c>
      <c r="I59" s="22">
        <v>0</v>
      </c>
      <c r="J59" s="24">
        <f t="shared" si="5"/>
        <v>174505.51300000001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46246.972000000002</v>
      </c>
      <c r="G60" s="22">
        <v>320230.967</v>
      </c>
      <c r="H60" s="22">
        <v>3682.7809999999999</v>
      </c>
      <c r="I60" s="22">
        <v>80195.989000000001</v>
      </c>
      <c r="J60" s="24">
        <f t="shared" si="5"/>
        <v>450356.70900000003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41647</v>
      </c>
      <c r="G61" s="45">
        <v>130720</v>
      </c>
      <c r="H61" s="45">
        <v>0</v>
      </c>
      <c r="I61" s="45">
        <v>0</v>
      </c>
      <c r="J61" s="46">
        <f>SUM(F61:I61)</f>
        <v>172367</v>
      </c>
      <c r="K61" s="45" t="s">
        <v>299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7800</v>
      </c>
      <c r="G62" s="22">
        <v>35000</v>
      </c>
      <c r="H62" s="22">
        <v>0</v>
      </c>
      <c r="I62" s="22">
        <v>0</v>
      </c>
      <c r="J62" s="24">
        <f t="shared" si="5"/>
        <v>42800</v>
      </c>
      <c r="K62" s="116"/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563879</v>
      </c>
      <c r="G63" s="19">
        <v>1374108</v>
      </c>
      <c r="H63" s="19">
        <v>43753</v>
      </c>
      <c r="I63" s="19">
        <v>156348</v>
      </c>
      <c r="J63" s="24">
        <f t="shared" si="5"/>
        <v>2138088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2765.5509999999999</v>
      </c>
      <c r="G64" s="19">
        <v>16862.054</v>
      </c>
      <c r="H64" s="19">
        <v>1361.4480000000001</v>
      </c>
      <c r="I64" s="9" t="s">
        <v>3</v>
      </c>
      <c r="J64" s="24">
        <f t="shared" si="5"/>
        <v>20989.053</v>
      </c>
      <c r="K64" s="102"/>
    </row>
    <row r="65" spans="1:11" ht="13.9" x14ac:dyDescent="0.4">
      <c r="A65" s="39"/>
      <c r="B65" s="2" t="s">
        <v>118</v>
      </c>
      <c r="C65" s="13" t="s">
        <v>184</v>
      </c>
      <c r="D65" s="13"/>
      <c r="E65" s="2" t="s">
        <v>205</v>
      </c>
      <c r="F65" s="22">
        <v>7200</v>
      </c>
      <c r="G65" s="22">
        <v>20100</v>
      </c>
      <c r="H65" s="22">
        <v>460</v>
      </c>
      <c r="I65" s="22">
        <v>0</v>
      </c>
      <c r="J65" s="24">
        <f t="shared" si="5"/>
        <v>27760</v>
      </c>
      <c r="K65" s="32"/>
    </row>
    <row r="66" spans="1:11" ht="13.9" x14ac:dyDescent="0.4">
      <c r="A66" s="39"/>
      <c r="B66" s="2" t="s">
        <v>119</v>
      </c>
      <c r="C66" s="13" t="s">
        <v>184</v>
      </c>
      <c r="D66" s="13"/>
      <c r="E66" s="2" t="s">
        <v>206</v>
      </c>
      <c r="F66" s="22">
        <v>231764</v>
      </c>
      <c r="G66" s="22">
        <v>195001</v>
      </c>
      <c r="H66" s="22">
        <v>6097</v>
      </c>
      <c r="I66" s="19">
        <v>82651</v>
      </c>
      <c r="J66" s="24">
        <f>SUM(F66:I66)</f>
        <v>515513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65890.718999999997</v>
      </c>
      <c r="G67" s="22">
        <v>106203.083</v>
      </c>
      <c r="H67" s="22">
        <v>0</v>
      </c>
      <c r="I67" s="22">
        <v>157515.83499999999</v>
      </c>
      <c r="J67" s="24">
        <f t="shared" ref="J67" si="6">SUM(F67:I67)</f>
        <v>329609.63699999999</v>
      </c>
      <c r="K67" s="24"/>
    </row>
    <row r="68" spans="1:11" ht="13.9" x14ac:dyDescent="0.4">
      <c r="A68" s="39"/>
      <c r="B68" s="2" t="s">
        <v>291</v>
      </c>
      <c r="C68" s="13"/>
      <c r="D68" s="13"/>
      <c r="E68" s="2"/>
      <c r="F68" s="22"/>
      <c r="G68" s="22"/>
      <c r="H68" s="22"/>
      <c r="I68" s="22"/>
      <c r="J68" s="24"/>
      <c r="K68" s="24"/>
    </row>
    <row r="69" spans="1:11" ht="13.9" x14ac:dyDescent="0.4">
      <c r="A69" s="39"/>
      <c r="B69" s="2" t="s">
        <v>120</v>
      </c>
      <c r="C69" s="13" t="s">
        <v>184</v>
      </c>
      <c r="D69" s="13"/>
      <c r="E69" s="2" t="s">
        <v>66</v>
      </c>
      <c r="F69" s="22">
        <v>18571.996999999999</v>
      </c>
      <c r="G69" s="22">
        <v>50954.671000000002</v>
      </c>
      <c r="H69" s="22">
        <v>4061.4679999999998</v>
      </c>
      <c r="I69" s="22">
        <v>0</v>
      </c>
      <c r="J69" s="24">
        <f>SUM(F69:I69)</f>
        <v>73588.135999999999</v>
      </c>
      <c r="K69" s="33"/>
    </row>
    <row r="70" spans="1:11" ht="13.9" x14ac:dyDescent="0.4">
      <c r="A70" s="39"/>
      <c r="B70" s="56" t="s">
        <v>161</v>
      </c>
      <c r="C70" s="53"/>
      <c r="D70" s="53"/>
      <c r="E70" s="56" t="s">
        <v>160</v>
      </c>
      <c r="F70" s="45">
        <v>38784.593000000001</v>
      </c>
      <c r="G70" s="45">
        <v>58828.84</v>
      </c>
      <c r="H70" s="45">
        <f>'14'!H70</f>
        <v>0</v>
      </c>
      <c r="I70" s="45">
        <f>'14'!I70</f>
        <v>0</v>
      </c>
      <c r="J70" s="46">
        <f t="shared" si="5"/>
        <v>97613.43299999999</v>
      </c>
      <c r="K70" s="45" t="s">
        <v>262</v>
      </c>
    </row>
    <row r="71" spans="1:11" ht="13.9" x14ac:dyDescent="0.4">
      <c r="A71" s="39"/>
      <c r="B71" s="2" t="s">
        <v>121</v>
      </c>
      <c r="C71" s="13" t="s">
        <v>184</v>
      </c>
      <c r="D71" s="13"/>
      <c r="E71" s="2" t="s">
        <v>67</v>
      </c>
      <c r="F71" s="22">
        <v>724520</v>
      </c>
      <c r="G71" s="22">
        <v>228100</v>
      </c>
      <c r="H71" s="22" t="s">
        <v>16</v>
      </c>
      <c r="I71" s="22">
        <v>0</v>
      </c>
      <c r="J71" s="24">
        <f>SUM(F71:I71)</f>
        <v>952620</v>
      </c>
      <c r="K71" s="22" t="s">
        <v>290</v>
      </c>
    </row>
    <row r="72" spans="1:11" ht="13.9" x14ac:dyDescent="0.4">
      <c r="A72" s="39"/>
      <c r="B72" s="72" t="s">
        <v>162</v>
      </c>
      <c r="C72" s="71"/>
      <c r="D72" s="71"/>
      <c r="E72" s="72" t="s">
        <v>182</v>
      </c>
      <c r="F72" s="45">
        <f>148310.98*8%</f>
        <v>11864.878400000001</v>
      </c>
      <c r="G72" s="45">
        <f>148310.98*0.92</f>
        <v>136446.10160000002</v>
      </c>
      <c r="H72" s="45">
        <v>0</v>
      </c>
      <c r="I72" s="45">
        <v>0</v>
      </c>
      <c r="J72" s="46">
        <f>SUM(F72:I72)</f>
        <v>148310.98000000004</v>
      </c>
      <c r="K72" s="45" t="s">
        <v>261</v>
      </c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133365.519</v>
      </c>
      <c r="G73" s="83">
        <v>104369.103</v>
      </c>
      <c r="H73" s="83">
        <v>0</v>
      </c>
      <c r="I73" s="83">
        <v>0</v>
      </c>
      <c r="J73" s="46">
        <f>SUM(F73:I73)</f>
        <v>237734.622</v>
      </c>
      <c r="K73" s="45" t="s">
        <v>262</v>
      </c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04"/>
      <c r="G74" s="104"/>
      <c r="H74" s="104"/>
      <c r="I74" s="104"/>
      <c r="J74" s="104"/>
      <c r="K74" s="104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39.94</v>
      </c>
      <c r="G75" s="19">
        <v>372.93900000000002</v>
      </c>
      <c r="H75" s="19">
        <v>152.07900000000001</v>
      </c>
      <c r="I75" s="19">
        <v>0</v>
      </c>
      <c r="J75" s="24">
        <f>SUM(F75:I75)</f>
        <v>564.95800000000008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146840</v>
      </c>
      <c r="H76" s="19">
        <v>0</v>
      </c>
      <c r="I76" s="19">
        <v>0</v>
      </c>
      <c r="J76" s="24">
        <f>SUM(F76:I76)</f>
        <v>146840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45" t="s">
        <v>3</v>
      </c>
      <c r="G77" s="145" t="s">
        <v>3</v>
      </c>
      <c r="H77" s="145" t="s">
        <v>3</v>
      </c>
      <c r="I77" s="145" t="s">
        <v>3</v>
      </c>
      <c r="J77" s="156">
        <v>20000</v>
      </c>
      <c r="K77" s="120" t="s">
        <v>220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36401.296000000002</v>
      </c>
      <c r="G78" s="22">
        <v>293363.41600000003</v>
      </c>
      <c r="H78" s="22">
        <v>0</v>
      </c>
      <c r="I78" s="22">
        <v>0</v>
      </c>
      <c r="J78" s="24">
        <f>SUM(F78:I78)</f>
        <v>329764.71200000006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33">
        <v>4404.835</v>
      </c>
      <c r="G79" s="33">
        <v>11177.579</v>
      </c>
      <c r="H79" s="33">
        <v>776.52700000000004</v>
      </c>
      <c r="I79" s="33">
        <v>0</v>
      </c>
      <c r="J79" s="34">
        <f>SUM(F79:I79)</f>
        <v>16358.941000000001</v>
      </c>
      <c r="K79" s="34"/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20995.648000000001</v>
      </c>
      <c r="G80" s="19">
        <v>5727.7270500000004</v>
      </c>
      <c r="H80" s="19">
        <v>8460.3422599999994</v>
      </c>
      <c r="I80" s="19">
        <v>1248.00253</v>
      </c>
      <c r="J80" s="24">
        <f>SUM(F80:I80)</f>
        <v>36431.719839999998</v>
      </c>
      <c r="K80" s="102"/>
    </row>
    <row r="81" spans="1:11" ht="13.9" x14ac:dyDescent="0.4">
      <c r="A81" s="40"/>
      <c r="B81" s="2" t="s">
        <v>125</v>
      </c>
      <c r="C81" s="13" t="s">
        <v>184</v>
      </c>
      <c r="D81" s="13"/>
      <c r="E81" s="2" t="s">
        <v>73</v>
      </c>
      <c r="F81" s="22">
        <v>592.15700000000004</v>
      </c>
      <c r="G81" s="22">
        <v>2253.3890000000001</v>
      </c>
      <c r="H81" s="22">
        <v>242.405</v>
      </c>
      <c r="I81" s="22">
        <v>0</v>
      </c>
      <c r="J81" s="24">
        <f>SUM(F81:I81)</f>
        <v>3087.9510000000005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120">
        <v>500</v>
      </c>
      <c r="G82" s="120">
        <v>27000</v>
      </c>
      <c r="H82" s="120">
        <v>800</v>
      </c>
      <c r="I82" s="120">
        <v>0</v>
      </c>
      <c r="J82" s="121">
        <f t="shared" ref="J82:J87" si="7">SUM(F82:I82)</f>
        <v>28300</v>
      </c>
      <c r="K82" s="120" t="s">
        <v>225</v>
      </c>
    </row>
    <row r="83" spans="1:11" ht="13.9" x14ac:dyDescent="0.4">
      <c r="A83" s="40"/>
      <c r="B83" s="2" t="s">
        <v>127</v>
      </c>
      <c r="C83" s="13" t="s">
        <v>184</v>
      </c>
      <c r="D83" s="13"/>
      <c r="E83" s="2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si="7"/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51144.008000000002</v>
      </c>
      <c r="H84" s="19">
        <v>0</v>
      </c>
      <c r="I84" s="19">
        <v>0</v>
      </c>
      <c r="J84" s="24">
        <f t="shared" si="7"/>
        <v>51144.008000000002</v>
      </c>
      <c r="K84" s="8" t="s">
        <v>226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334339.77</v>
      </c>
      <c r="G85" s="22">
        <v>728558.04</v>
      </c>
      <c r="H85" s="22">
        <v>0</v>
      </c>
      <c r="I85" s="22">
        <v>0</v>
      </c>
      <c r="J85" s="24">
        <f t="shared" si="7"/>
        <v>1062897.81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107664</v>
      </c>
      <c r="G86" s="22">
        <v>1046799</v>
      </c>
      <c r="H86" s="22">
        <v>0</v>
      </c>
      <c r="I86" s="22">
        <v>0</v>
      </c>
      <c r="J86" s="24">
        <f t="shared" si="7"/>
        <v>1154463</v>
      </c>
      <c r="K86" s="2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13816.35074</v>
      </c>
      <c r="G87" s="22">
        <v>25948.508109999999</v>
      </c>
      <c r="H87" s="22">
        <v>7271.3093099999996</v>
      </c>
      <c r="I87" s="22">
        <v>0</v>
      </c>
      <c r="J87" s="24">
        <f t="shared" si="7"/>
        <v>47036.168159999994</v>
      </c>
      <c r="K87" s="8" t="s">
        <v>204</v>
      </c>
    </row>
    <row r="88" spans="1:11" ht="13.9" x14ac:dyDescent="0.4">
      <c r="A88" s="40"/>
      <c r="B88" s="72" t="s">
        <v>130</v>
      </c>
      <c r="C88" s="71" t="s">
        <v>183</v>
      </c>
      <c r="D88" s="71"/>
      <c r="E88" s="72" t="s">
        <v>80</v>
      </c>
      <c r="F88" s="145" t="s">
        <v>3</v>
      </c>
      <c r="G88" s="145" t="s">
        <v>3</v>
      </c>
      <c r="H88" s="145" t="s">
        <v>3</v>
      </c>
      <c r="I88" s="145" t="s">
        <v>3</v>
      </c>
      <c r="J88" s="121">
        <v>11500</v>
      </c>
      <c r="K88" s="120" t="s">
        <v>222</v>
      </c>
    </row>
    <row r="89" spans="1:11" ht="13.9" x14ac:dyDescent="0.4">
      <c r="A89" s="40"/>
      <c r="B89" s="72" t="s">
        <v>131</v>
      </c>
      <c r="C89" s="71" t="s">
        <v>183</v>
      </c>
      <c r="D89" s="71"/>
      <c r="E89" s="72" t="s">
        <v>81</v>
      </c>
      <c r="F89" s="120">
        <v>10000</v>
      </c>
      <c r="G89" s="120">
        <v>20000</v>
      </c>
      <c r="H89" s="120">
        <v>0</v>
      </c>
      <c r="I89" s="120">
        <v>0</v>
      </c>
      <c r="J89" s="121">
        <v>23000</v>
      </c>
      <c r="K89" s="120" t="s">
        <v>222</v>
      </c>
    </row>
    <row r="90" spans="1:11" ht="13.9" x14ac:dyDescent="0.4">
      <c r="A90" s="40"/>
      <c r="B90" s="2" t="s">
        <v>19</v>
      </c>
      <c r="C90" s="13" t="s">
        <v>184</v>
      </c>
      <c r="D90" s="13"/>
      <c r="E90" s="2" t="s">
        <v>82</v>
      </c>
      <c r="F90" s="22">
        <v>286444.48499999999</v>
      </c>
      <c r="G90" s="22">
        <v>369684.54100000003</v>
      </c>
      <c r="H90" s="22">
        <v>18799.218000000001</v>
      </c>
      <c r="I90" s="22">
        <v>81746.663</v>
      </c>
      <c r="J90" s="24">
        <f t="shared" ref="J90:J100" si="8">SUM(F90:I90)</f>
        <v>756674.90700000012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140000</v>
      </c>
      <c r="G91" s="22">
        <v>289000</v>
      </c>
      <c r="H91" s="22">
        <v>0</v>
      </c>
      <c r="I91" s="19">
        <v>0</v>
      </c>
      <c r="J91" s="24">
        <f t="shared" si="8"/>
        <v>429000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655200</v>
      </c>
      <c r="G92" s="22">
        <v>50400</v>
      </c>
      <c r="H92" s="22">
        <v>0</v>
      </c>
      <c r="I92" s="19">
        <v>95100</v>
      </c>
      <c r="J92" s="24">
        <f t="shared" si="8"/>
        <v>800700</v>
      </c>
      <c r="K92" s="101" t="s">
        <v>201</v>
      </c>
    </row>
    <row r="93" spans="1:11" ht="13.9" x14ac:dyDescent="0.4">
      <c r="A93" s="40"/>
      <c r="B93" s="2" t="s">
        <v>132</v>
      </c>
      <c r="C93" s="13" t="s">
        <v>184</v>
      </c>
      <c r="D93" s="13"/>
      <c r="E93" s="2" t="s">
        <v>85</v>
      </c>
      <c r="F93" s="22">
        <v>14065.659</v>
      </c>
      <c r="G93" s="22">
        <v>70347.456999999995</v>
      </c>
      <c r="H93" s="22">
        <v>1872.6389999999999</v>
      </c>
      <c r="I93" s="22">
        <v>6276.3590000000004</v>
      </c>
      <c r="J93" s="24">
        <f t="shared" si="8"/>
        <v>92562.113999999987</v>
      </c>
      <c r="K93" s="34"/>
    </row>
    <row r="94" spans="1:11" ht="13.9" x14ac:dyDescent="0.4">
      <c r="A94" s="40"/>
      <c r="B94" s="2" t="s">
        <v>133</v>
      </c>
      <c r="C94" s="13" t="s">
        <v>184</v>
      </c>
      <c r="D94" s="13"/>
      <c r="E94" s="2" t="s">
        <v>86</v>
      </c>
      <c r="F94" s="22">
        <v>16294.690500000001</v>
      </c>
      <c r="G94" s="22">
        <v>27230.201000000001</v>
      </c>
      <c r="H94" s="19">
        <v>2009.442</v>
      </c>
      <c r="I94" s="22">
        <v>0</v>
      </c>
      <c r="J94" s="24">
        <f t="shared" si="8"/>
        <v>45534.333500000001</v>
      </c>
      <c r="K94" s="34"/>
    </row>
    <row r="95" spans="1:11" ht="13.9" x14ac:dyDescent="0.4">
      <c r="A95" s="40"/>
      <c r="B95" s="72" t="s">
        <v>134</v>
      </c>
      <c r="C95" s="71" t="s">
        <v>184</v>
      </c>
      <c r="D95" s="71"/>
      <c r="E95" s="72" t="s">
        <v>87</v>
      </c>
      <c r="F95" s="45">
        <v>0</v>
      </c>
      <c r="G95" s="45">
        <v>0</v>
      </c>
      <c r="H95" s="45">
        <v>0</v>
      </c>
      <c r="I95" s="45">
        <v>0</v>
      </c>
      <c r="J95" s="46">
        <f t="shared" si="8"/>
        <v>0</v>
      </c>
      <c r="K95" s="45"/>
    </row>
    <row r="96" spans="1:11" ht="13.9" x14ac:dyDescent="0.4">
      <c r="A96" s="40"/>
      <c r="B96" s="23" t="s">
        <v>24</v>
      </c>
      <c r="C96" s="69" t="s">
        <v>184</v>
      </c>
      <c r="D96" s="69"/>
      <c r="E96" s="23" t="s">
        <v>178</v>
      </c>
      <c r="F96" s="22">
        <v>72610</v>
      </c>
      <c r="G96" s="22">
        <v>285400</v>
      </c>
      <c r="H96" s="22">
        <v>42540</v>
      </c>
      <c r="I96" s="19" t="s">
        <v>3</v>
      </c>
      <c r="J96" s="24">
        <f t="shared" si="8"/>
        <v>400550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1201.72012</v>
      </c>
      <c r="G97" s="22">
        <v>13278.95991</v>
      </c>
      <c r="H97" s="22">
        <v>1273.2204999999999</v>
      </c>
      <c r="I97" s="22">
        <v>0</v>
      </c>
      <c r="J97" s="24">
        <f t="shared" si="8"/>
        <v>15753.900529999999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125639</v>
      </c>
      <c r="G98" s="22">
        <v>186645</v>
      </c>
      <c r="H98" s="22">
        <v>12388.6</v>
      </c>
      <c r="I98" s="22">
        <v>0</v>
      </c>
      <c r="J98" s="24">
        <f t="shared" si="8"/>
        <v>324672.59999999998</v>
      </c>
      <c r="K98" s="102"/>
    </row>
    <row r="99" spans="1:11" ht="13.9" x14ac:dyDescent="0.4">
      <c r="A99" s="40"/>
      <c r="B99" s="2" t="s">
        <v>137</v>
      </c>
      <c r="C99" s="13" t="s">
        <v>184</v>
      </c>
      <c r="D99" s="13"/>
      <c r="E99" s="2" t="s">
        <v>90</v>
      </c>
      <c r="F99" s="22">
        <v>56353.743000000002</v>
      </c>
      <c r="G99" s="22">
        <v>131228.15</v>
      </c>
      <c r="H99" s="22">
        <v>0</v>
      </c>
      <c r="I99" s="19">
        <v>0</v>
      </c>
      <c r="J99" s="24">
        <f t="shared" si="8"/>
        <v>187581.89299999998</v>
      </c>
      <c r="K99" s="110"/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3000</v>
      </c>
      <c r="G100" s="19">
        <v>238000</v>
      </c>
      <c r="H100" s="19">
        <v>10000</v>
      </c>
      <c r="I100" s="19">
        <v>0</v>
      </c>
      <c r="J100" s="24">
        <f t="shared" si="8"/>
        <v>251000</v>
      </c>
      <c r="K100" s="107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60510.320370000001</v>
      </c>
      <c r="G101" s="19">
        <v>182697.26972000001</v>
      </c>
      <c r="H101" s="19">
        <v>5732.6163800000004</v>
      </c>
      <c r="I101" s="19">
        <v>0</v>
      </c>
      <c r="J101" s="24">
        <f>SUM(F101:I101)</f>
        <v>248940.20647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33">
        <v>1500</v>
      </c>
      <c r="G102" s="33">
        <v>193000</v>
      </c>
      <c r="H102" s="33">
        <v>300</v>
      </c>
      <c r="I102" s="33">
        <v>0</v>
      </c>
      <c r="J102" s="34">
        <f t="shared" ref="J102" si="9">SUM(F102:I102)</f>
        <v>194800</v>
      </c>
      <c r="K102" s="33" t="s">
        <v>224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512784.48200000002</v>
      </c>
      <c r="G103" s="22">
        <v>748522.12699999998</v>
      </c>
      <c r="H103" s="22">
        <v>352629.24599999998</v>
      </c>
      <c r="I103" s="22">
        <v>1104964</v>
      </c>
      <c r="J103" s="24">
        <f>SUM(F103:I103)</f>
        <v>2718899.855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1229124.1569999999</v>
      </c>
      <c r="G104" s="22">
        <v>1395899.6340000001</v>
      </c>
      <c r="H104" s="22">
        <v>1018226.31</v>
      </c>
      <c r="I104" s="22">
        <v>2188758.1129999999</v>
      </c>
      <c r="J104" s="24">
        <f>SUM(F104:I104)</f>
        <v>5832008.2139999997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04"/>
      <c r="G105" s="104"/>
      <c r="H105" s="104"/>
      <c r="I105" s="104"/>
      <c r="J105" s="104"/>
      <c r="K105" s="104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19600</v>
      </c>
      <c r="H106" s="68" t="s">
        <v>3</v>
      </c>
      <c r="I106" s="68" t="s">
        <v>3</v>
      </c>
      <c r="J106" s="46">
        <f t="shared" ref="J106:J111" si="10">SUM(F106:I106)</f>
        <v>19600</v>
      </c>
      <c r="K106" s="72" t="s">
        <v>166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68" t="s">
        <v>3</v>
      </c>
      <c r="G107" s="83">
        <v>16100</v>
      </c>
      <c r="H107" s="68" t="s">
        <v>3</v>
      </c>
      <c r="I107" s="68" t="s">
        <v>3</v>
      </c>
      <c r="J107" s="48">
        <f t="shared" si="10"/>
        <v>16100</v>
      </c>
      <c r="K107" s="45" t="s">
        <v>166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33900</v>
      </c>
      <c r="H108" s="68" t="s">
        <v>3</v>
      </c>
      <c r="I108" s="68" t="s">
        <v>3</v>
      </c>
      <c r="J108" s="46">
        <f t="shared" si="10"/>
        <v>33900</v>
      </c>
      <c r="K108" s="72" t="s">
        <v>200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145" t="s">
        <v>3</v>
      </c>
      <c r="G109" s="149">
        <v>30000</v>
      </c>
      <c r="H109" s="145" t="s">
        <v>3</v>
      </c>
      <c r="I109" s="145" t="s">
        <v>3</v>
      </c>
      <c r="J109" s="121">
        <f t="shared" si="10"/>
        <v>30000</v>
      </c>
      <c r="K109" s="155" t="s">
        <v>251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19">
        <v>0</v>
      </c>
      <c r="G110" s="19">
        <v>34700</v>
      </c>
      <c r="H110" s="19">
        <v>0</v>
      </c>
      <c r="I110" s="19">
        <v>0</v>
      </c>
      <c r="J110" s="24">
        <f t="shared" si="10"/>
        <v>34700</v>
      </c>
      <c r="K110" s="22" t="s">
        <v>280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49">
        <v>2900</v>
      </c>
      <c r="G111" s="149">
        <v>13000</v>
      </c>
      <c r="H111" s="145" t="s">
        <v>3</v>
      </c>
      <c r="I111" s="145" t="s">
        <v>3</v>
      </c>
      <c r="J111" s="34">
        <f t="shared" si="10"/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83">
        <v>37100</v>
      </c>
      <c r="H112" s="68" t="s">
        <v>3</v>
      </c>
      <c r="I112" s="68" t="s">
        <v>3</v>
      </c>
      <c r="J112" s="46">
        <f t="shared" ref="J112:J118" si="11">SUM(F112:I112)</f>
        <v>37100</v>
      </c>
      <c r="K112" s="72" t="s">
        <v>200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1500</v>
      </c>
      <c r="H113" s="68" t="s">
        <v>3</v>
      </c>
      <c r="I113" s="68" t="s">
        <v>3</v>
      </c>
      <c r="J113" s="46">
        <f t="shared" si="11"/>
        <v>1500</v>
      </c>
      <c r="K113" s="72" t="s">
        <v>166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68" t="s">
        <v>3</v>
      </c>
      <c r="G114" s="83">
        <v>302000</v>
      </c>
      <c r="H114" s="68" t="s">
        <v>3</v>
      </c>
      <c r="I114" s="68" t="s">
        <v>3</v>
      </c>
      <c r="J114" s="46">
        <f t="shared" si="11"/>
        <v>302000</v>
      </c>
      <c r="K114" s="72" t="s">
        <v>216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232700</v>
      </c>
      <c r="H115" s="68" t="s">
        <v>3</v>
      </c>
      <c r="I115" s="68" t="s">
        <v>3</v>
      </c>
      <c r="J115" s="46">
        <f t="shared" si="11"/>
        <v>232700</v>
      </c>
      <c r="K115" s="72" t="s">
        <v>277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68" t="s">
        <v>3</v>
      </c>
      <c r="G116" s="83">
        <v>22900</v>
      </c>
      <c r="H116" s="68" t="s">
        <v>3</v>
      </c>
      <c r="I116" s="68" t="s">
        <v>3</v>
      </c>
      <c r="J116" s="46">
        <f t="shared" si="11"/>
        <v>22900</v>
      </c>
      <c r="K116" s="72" t="s">
        <v>277</v>
      </c>
    </row>
    <row r="117" spans="1:11" s="47" customFormat="1" ht="13.9" x14ac:dyDescent="0.4">
      <c r="A117" s="70"/>
      <c r="B117" s="56" t="s">
        <v>35</v>
      </c>
      <c r="C117" s="53"/>
      <c r="D117" s="76" t="s">
        <v>165</v>
      </c>
      <c r="E117" s="56" t="s">
        <v>169</v>
      </c>
      <c r="F117" s="68" t="s">
        <v>3</v>
      </c>
      <c r="G117" s="83">
        <v>448000</v>
      </c>
      <c r="H117" s="68" t="s">
        <v>3</v>
      </c>
      <c r="I117" s="68" t="s">
        <v>3</v>
      </c>
      <c r="J117" s="46">
        <f t="shared" si="11"/>
        <v>448000</v>
      </c>
      <c r="K117" s="45" t="s">
        <v>200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68" t="s">
        <v>3</v>
      </c>
      <c r="G118" s="83">
        <v>15100</v>
      </c>
      <c r="H118" s="68" t="s">
        <v>3</v>
      </c>
      <c r="I118" s="68" t="s">
        <v>3</v>
      </c>
      <c r="J118" s="46">
        <f t="shared" si="11"/>
        <v>15100</v>
      </c>
      <c r="K118" s="72" t="s">
        <v>200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7395777.3144899979</v>
      </c>
      <c r="G120" s="21">
        <f>SUM(G10:G119)</f>
        <v>15699556.194149997</v>
      </c>
      <c r="H120" s="21">
        <f>SUM(H10:H119)</f>
        <v>2044788.68613</v>
      </c>
      <c r="I120" s="21">
        <f>SUM(I10:I119)</f>
        <v>4600213.1600399995</v>
      </c>
      <c r="J120" s="67">
        <f>SUM(J10:J119)</f>
        <v>29764835.354810007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9440566.0006199982</v>
      </c>
      <c r="G121" s="8"/>
      <c r="H121" s="8"/>
      <c r="I121" s="35"/>
      <c r="J121" s="22">
        <f>SUM(F120:I120)</f>
        <v>29740335.354809992</v>
      </c>
      <c r="K121" s="1">
        <f>J120-J121</f>
        <v>24500.000000014901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7398927.3144899979</v>
      </c>
      <c r="G123" s="86">
        <f>G120+G129</f>
        <v>15727906.194149997</v>
      </c>
      <c r="H123" s="86">
        <f>H120</f>
        <v>2044788.68613</v>
      </c>
      <c r="I123" s="86">
        <f>I120</f>
        <v>4600213.1600399995</v>
      </c>
      <c r="J123" s="86">
        <f>SUM(F123:I123)</f>
        <v>29771835.354809992</v>
      </c>
      <c r="K123" s="6">
        <f>J123-J120</f>
        <v>6999.9999999850988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9443716.0006199982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0.24852103426988131</v>
      </c>
      <c r="G125" s="29">
        <f>G123/$J123</f>
        <v>0.52828137757415639</v>
      </c>
      <c r="H125" s="29">
        <f>H123/$J123</f>
        <v>6.8681982879488152E-2</v>
      </c>
      <c r="I125" s="29">
        <f>I123/$J123</f>
        <v>0.15451560527647418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3150</v>
      </c>
      <c r="G129" s="7">
        <f>0.9*$J139</f>
        <v>28350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12">0.1*$J132</f>
        <v>0</v>
      </c>
      <c r="G132" s="7">
        <f t="shared" ref="G132:G137" si="13">0.9*$J132</f>
        <v>0</v>
      </c>
      <c r="H132" s="7">
        <v>0</v>
      </c>
      <c r="I132" s="7">
        <v>0</v>
      </c>
      <c r="J132" s="7">
        <v>0</v>
      </c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12"/>
        <v>0</v>
      </c>
      <c r="G133" s="7">
        <f t="shared" si="13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12"/>
        <v>0</v>
      </c>
      <c r="G134" s="7">
        <f t="shared" si="13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12"/>
        <v>0</v>
      </c>
      <c r="G135" s="7">
        <f t="shared" si="13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 t="shared" si="12"/>
        <v>3150</v>
      </c>
      <c r="G136" s="7">
        <f t="shared" si="13"/>
        <v>28350</v>
      </c>
      <c r="H136" s="7">
        <v>0</v>
      </c>
      <c r="I136" s="7">
        <v>0</v>
      </c>
      <c r="J136" s="22">
        <f>J77+J88</f>
        <v>31500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12"/>
        <v>0</v>
      </c>
      <c r="G137" s="7">
        <f t="shared" si="13"/>
        <v>0</v>
      </c>
      <c r="H137" s="7">
        <v>0</v>
      </c>
      <c r="I137" s="7">
        <v>0</v>
      </c>
      <c r="J137" s="7">
        <v>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31500</v>
      </c>
      <c r="K139" s="3" t="s">
        <v>175</v>
      </c>
    </row>
    <row r="141" spans="1:11" x14ac:dyDescent="0.35">
      <c r="B141" s="3" t="s">
        <v>247</v>
      </c>
      <c r="E141" s="3" t="s">
        <v>252</v>
      </c>
      <c r="F141" s="1" t="e">
        <f>F10+F21+F28+F31</f>
        <v>#VALUE!</v>
      </c>
      <c r="G141" s="1">
        <f t="shared" ref="G141:I141" si="14">G10+G21+G28+G31</f>
        <v>188800</v>
      </c>
      <c r="H141" s="1" t="e">
        <f t="shared" si="14"/>
        <v>#VALUE!</v>
      </c>
      <c r="I141" s="1" t="e">
        <f t="shared" si="14"/>
        <v>#VALUE!</v>
      </c>
      <c r="J141" s="1">
        <v>0</v>
      </c>
    </row>
    <row r="142" spans="1:11" x14ac:dyDescent="0.35">
      <c r="B142" s="3" t="s">
        <v>248</v>
      </c>
    </row>
    <row r="143" spans="1:11" x14ac:dyDescent="0.35">
      <c r="B143" s="3"/>
    </row>
    <row r="144" spans="1:11" x14ac:dyDescent="0.35">
      <c r="B144" s="3" t="s">
        <v>250</v>
      </c>
    </row>
    <row r="145" spans="2:10" x14ac:dyDescent="0.35">
      <c r="B145" s="3"/>
    </row>
    <row r="146" spans="2:10" ht="25.5" x14ac:dyDescent="0.35">
      <c r="B146" s="136" t="s">
        <v>245</v>
      </c>
      <c r="E146" s="137" t="s">
        <v>249</v>
      </c>
      <c r="F146" s="44" t="e">
        <f>F106+F107+F108+F109+F111+F112+F113+F114+F115+F116+F117+F118</f>
        <v>#VALUE!</v>
      </c>
      <c r="G146" s="44">
        <f t="shared" ref="G146:J146" si="15">G106+G107+G108+G109+G111+G112+G113+G114+G115+G116+G117+G118</f>
        <v>1171900</v>
      </c>
      <c r="H146" s="44" t="e">
        <f t="shared" si="15"/>
        <v>#VALUE!</v>
      </c>
      <c r="I146" s="44" t="e">
        <f t="shared" si="15"/>
        <v>#VALUE!</v>
      </c>
      <c r="J146" s="44">
        <f t="shared" si="15"/>
        <v>1174800</v>
      </c>
    </row>
    <row r="147" spans="2:10" ht="25.5" x14ac:dyDescent="0.4">
      <c r="B147" s="136" t="s">
        <v>246</v>
      </c>
      <c r="F147" s="87" t="e">
        <f>F146/F123</f>
        <v>#VALUE!</v>
      </c>
      <c r="G147" s="87">
        <f t="shared" ref="G147:J147" si="16">G146/G123</f>
        <v>7.4510871665542405E-2</v>
      </c>
      <c r="H147" s="87" t="e">
        <f t="shared" si="16"/>
        <v>#VALUE!</v>
      </c>
      <c r="I147" s="87" t="e">
        <f t="shared" si="16"/>
        <v>#VALUE!</v>
      </c>
      <c r="J147" s="90">
        <f t="shared" si="16"/>
        <v>3.9460113425966434E-2</v>
      </c>
    </row>
    <row r="148" spans="2:10" x14ac:dyDescent="0.35">
      <c r="B148" s="136"/>
      <c r="F148" s="87"/>
      <c r="G148" s="87"/>
      <c r="H148" s="87"/>
      <c r="I148" s="87"/>
      <c r="J148" s="87"/>
    </row>
    <row r="149" spans="2:10" x14ac:dyDescent="0.35">
      <c r="B149" s="135" t="s">
        <v>243</v>
      </c>
      <c r="E149" s="135" t="s">
        <v>242</v>
      </c>
      <c r="F149" s="1">
        <f>F61+F70+F72+F73</f>
        <v>225661.99040000001</v>
      </c>
      <c r="G149" s="1">
        <f t="shared" ref="G149:J149" si="17">G61+G70+G72+G73</f>
        <v>430364.04460000002</v>
      </c>
      <c r="H149" s="1">
        <f t="shared" si="17"/>
        <v>0</v>
      </c>
      <c r="I149" s="1">
        <f t="shared" si="17"/>
        <v>0</v>
      </c>
      <c r="J149" s="1">
        <f t="shared" si="17"/>
        <v>656026.03500000003</v>
      </c>
    </row>
    <row r="150" spans="2:10" ht="13.15" x14ac:dyDescent="0.4">
      <c r="B150" s="137" t="s">
        <v>244</v>
      </c>
      <c r="F150" s="90">
        <f>F149/F123</f>
        <v>3.0499284667666007E-2</v>
      </c>
      <c r="G150" s="90">
        <f t="shared" ref="G150:J150" si="18">G149/G123</f>
        <v>2.7363085669984105E-2</v>
      </c>
      <c r="H150" s="90">
        <f t="shared" si="18"/>
        <v>0</v>
      </c>
      <c r="I150" s="90">
        <f t="shared" si="18"/>
        <v>0</v>
      </c>
      <c r="J150" s="90">
        <f t="shared" si="18"/>
        <v>2.2035122362518752E-2</v>
      </c>
    </row>
  </sheetData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39"/>
  <sheetViews>
    <sheetView topLeftCell="A44" zoomScale="60" zoomScaleNormal="60" workbookViewId="0">
      <selection activeCell="I115" sqref="I115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227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6792332.3874499984</v>
      </c>
      <c r="G4" s="17">
        <f t="shared" ref="G4:I4" si="0">SUBTOTAL(9,G9:G118)</f>
        <v>14930311.967619998</v>
      </c>
      <c r="H4" s="17">
        <f t="shared" si="0"/>
        <v>2006102.82516</v>
      </c>
      <c r="I4" s="17">
        <f t="shared" si="0"/>
        <v>3628318.26198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6" t="s">
        <v>46</v>
      </c>
      <c r="C10" s="58"/>
      <c r="D10" s="76" t="s">
        <v>165</v>
      </c>
      <c r="E10" s="56" t="s">
        <v>169</v>
      </c>
      <c r="F10" s="68" t="s">
        <v>3</v>
      </c>
      <c r="G10" s="83">
        <v>60400</v>
      </c>
      <c r="H10" s="68" t="s">
        <v>3</v>
      </c>
      <c r="I10" s="68" t="s">
        <v>3</v>
      </c>
      <c r="J10" s="46">
        <f>SUM(F10:I10)</f>
        <v>60400</v>
      </c>
      <c r="K10" s="45" t="s">
        <v>275</v>
      </c>
    </row>
    <row r="11" spans="1:11" s="59" customFormat="1" ht="15" x14ac:dyDescent="0.4">
      <c r="A11" s="57"/>
      <c r="B11" s="56" t="s">
        <v>185</v>
      </c>
      <c r="C11" s="58"/>
      <c r="D11" s="76" t="s">
        <v>186</v>
      </c>
      <c r="E11" s="56" t="s">
        <v>187</v>
      </c>
      <c r="F11" s="83">
        <v>0</v>
      </c>
      <c r="G11" s="83">
        <v>1031</v>
      </c>
      <c r="H11" s="83">
        <v>0</v>
      </c>
      <c r="I11" s="83">
        <v>0</v>
      </c>
      <c r="J11" s="46">
        <f t="shared" ref="J11:J30" si="1">SUM(F11:I11)</f>
        <v>1031</v>
      </c>
      <c r="K11" s="45" t="s">
        <v>199</v>
      </c>
    </row>
    <row r="12" spans="1:11" s="59" customFormat="1" ht="15" x14ac:dyDescent="0.4">
      <c r="A12" s="57"/>
      <c r="B12" s="56" t="s">
        <v>188</v>
      </c>
      <c r="C12" s="58"/>
      <c r="D12" s="76" t="s">
        <v>186</v>
      </c>
      <c r="E12" s="56" t="s">
        <v>187</v>
      </c>
      <c r="F12" s="83">
        <v>0</v>
      </c>
      <c r="G12" s="83">
        <v>1090</v>
      </c>
      <c r="H12" s="83">
        <v>0</v>
      </c>
      <c r="I12" s="83">
        <v>0</v>
      </c>
      <c r="J12" s="46">
        <f t="shared" si="1"/>
        <v>1090</v>
      </c>
      <c r="K12" s="45" t="s">
        <v>199</v>
      </c>
    </row>
    <row r="13" spans="1:11" s="59" customFormat="1" ht="15" x14ac:dyDescent="0.4">
      <c r="A13" s="57"/>
      <c r="B13" s="56" t="s">
        <v>189</v>
      </c>
      <c r="C13" s="58"/>
      <c r="D13" s="76" t="s">
        <v>186</v>
      </c>
      <c r="E13" s="56" t="s">
        <v>187</v>
      </c>
      <c r="F13" s="83">
        <v>0</v>
      </c>
      <c r="G13" s="83">
        <f>'15'!G13*(1-0.03165)</f>
        <v>1858.2636500000001</v>
      </c>
      <c r="H13" s="83">
        <v>0</v>
      </c>
      <c r="I13" s="83">
        <v>0</v>
      </c>
      <c r="J13" s="46">
        <f t="shared" si="1"/>
        <v>1858.2636500000001</v>
      </c>
      <c r="K13" s="45" t="s">
        <v>251</v>
      </c>
    </row>
    <row r="14" spans="1:11" s="59" customFormat="1" ht="15" x14ac:dyDescent="0.4">
      <c r="A14" s="57"/>
      <c r="B14" s="56" t="s">
        <v>190</v>
      </c>
      <c r="C14" s="58"/>
      <c r="D14" s="76" t="s">
        <v>186</v>
      </c>
      <c r="E14" s="56" t="s">
        <v>187</v>
      </c>
      <c r="F14" s="83">
        <v>0</v>
      </c>
      <c r="G14" s="83">
        <v>20880</v>
      </c>
      <c r="H14" s="83">
        <v>0</v>
      </c>
      <c r="I14" s="83">
        <v>0</v>
      </c>
      <c r="J14" s="46">
        <f t="shared" si="1"/>
        <v>20880</v>
      </c>
      <c r="K14" s="45" t="s">
        <v>199</v>
      </c>
    </row>
    <row r="15" spans="1:11" s="59" customFormat="1" ht="15" x14ac:dyDescent="0.4">
      <c r="A15" s="57"/>
      <c r="B15" s="56" t="s">
        <v>191</v>
      </c>
      <c r="C15" s="58"/>
      <c r="D15" s="76" t="s">
        <v>186</v>
      </c>
      <c r="E15" s="56" t="s">
        <v>187</v>
      </c>
      <c r="F15" s="83">
        <v>0</v>
      </c>
      <c r="G15" s="83">
        <v>347</v>
      </c>
      <c r="H15" s="83">
        <v>0</v>
      </c>
      <c r="I15" s="83">
        <v>0</v>
      </c>
      <c r="J15" s="46">
        <f t="shared" si="1"/>
        <v>347</v>
      </c>
      <c r="K15" s="45" t="s">
        <v>199</v>
      </c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1803</v>
      </c>
      <c r="H16" s="56">
        <v>0</v>
      </c>
      <c r="I16" s="56">
        <v>0</v>
      </c>
      <c r="J16" s="46">
        <f t="shared" si="1"/>
        <v>1803</v>
      </c>
      <c r="K16" s="45" t="s">
        <v>199</v>
      </c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11970</v>
      </c>
      <c r="H17" s="56">
        <v>0</v>
      </c>
      <c r="I17" s="56">
        <v>0</v>
      </c>
      <c r="J17" s="46">
        <f t="shared" si="1"/>
        <v>11970</v>
      </c>
      <c r="K17" s="45" t="s">
        <v>199</v>
      </c>
    </row>
    <row r="18" spans="1:11" ht="13.9" x14ac:dyDescent="0.4">
      <c r="A18" s="41"/>
      <c r="B18" s="2" t="s">
        <v>104</v>
      </c>
      <c r="C18" s="13" t="s">
        <v>184</v>
      </c>
      <c r="D18" s="13"/>
      <c r="E18" s="2" t="s">
        <v>52</v>
      </c>
      <c r="F18" s="19">
        <v>18963.476999999999</v>
      </c>
      <c r="G18" s="19">
        <v>44051.55</v>
      </c>
      <c r="H18" s="19">
        <v>0</v>
      </c>
      <c r="I18" s="19">
        <v>64759.095999999998</v>
      </c>
      <c r="J18" s="24">
        <f t="shared" si="1"/>
        <v>127774.12299999999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7716</v>
      </c>
      <c r="H19" s="83">
        <v>0</v>
      </c>
      <c r="I19" s="83">
        <v>0</v>
      </c>
      <c r="J19" s="46">
        <f t="shared" si="1"/>
        <v>7716</v>
      </c>
      <c r="K19" s="45" t="s">
        <v>199</v>
      </c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f>'15'!G20*(1-0.03165)</f>
        <v>1682.9923000000001</v>
      </c>
      <c r="H20" s="83">
        <v>0</v>
      </c>
      <c r="I20" s="83">
        <v>0</v>
      </c>
      <c r="J20" s="46">
        <f t="shared" si="1"/>
        <v>1682.9923000000001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33">
        <v>0</v>
      </c>
      <c r="G21" s="33">
        <f>'15'!G21*(1-0.05)</f>
        <v>85500</v>
      </c>
      <c r="H21" s="33">
        <v>0</v>
      </c>
      <c r="I21" s="33">
        <v>0</v>
      </c>
      <c r="J21" s="34">
        <f t="shared" si="1"/>
        <v>85500</v>
      </c>
      <c r="K21" s="33" t="s">
        <v>236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4030</v>
      </c>
      <c r="H22" s="45">
        <v>0</v>
      </c>
      <c r="I22" s="45">
        <v>0</v>
      </c>
      <c r="J22" s="46">
        <f t="shared" si="1"/>
        <v>4030</v>
      </c>
      <c r="K22" s="45" t="s">
        <v>199</v>
      </c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15351.80192</v>
      </c>
      <c r="G23" s="22">
        <f>34296.54956+6851.05512</f>
        <v>41147.604679999997</v>
      </c>
      <c r="H23" s="22">
        <v>0</v>
      </c>
      <c r="I23" s="22">
        <v>0</v>
      </c>
      <c r="J23" s="24">
        <f t="shared" si="1"/>
        <v>56499.406599999995</v>
      </c>
      <c r="K23" s="3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1234</v>
      </c>
      <c r="H24" s="45">
        <v>0</v>
      </c>
      <c r="I24" s="45">
        <v>0</v>
      </c>
      <c r="J24" s="46">
        <f t="shared" si="1"/>
        <v>1234</v>
      </c>
      <c r="K24" s="45" t="s">
        <v>199</v>
      </c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4285.5452299999997</v>
      </c>
      <c r="G25" s="22">
        <v>21427.736209999999</v>
      </c>
      <c r="H25" s="19">
        <v>2857.03017</v>
      </c>
      <c r="I25" s="19">
        <v>52851.205979999999</v>
      </c>
      <c r="J25" s="24">
        <f t="shared" si="1"/>
        <v>81421.517590000003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11488</v>
      </c>
      <c r="H26" s="83">
        <v>0</v>
      </c>
      <c r="I26" s="83">
        <v>0</v>
      </c>
      <c r="J26" s="46">
        <f t="shared" si="1"/>
        <v>11488</v>
      </c>
      <c r="K26" s="45" t="s">
        <v>199</v>
      </c>
    </row>
    <row r="27" spans="1:11" s="66" customFormat="1" ht="13.9" x14ac:dyDescent="0.4">
      <c r="A27" s="64"/>
      <c r="B27" s="2" t="s">
        <v>106</v>
      </c>
      <c r="C27" s="13" t="s">
        <v>184</v>
      </c>
      <c r="D27" s="13"/>
      <c r="E27" s="2" t="s">
        <v>55</v>
      </c>
      <c r="F27" s="88">
        <v>13000</v>
      </c>
      <c r="G27" s="88">
        <v>115000</v>
      </c>
      <c r="H27" s="65">
        <v>0</v>
      </c>
      <c r="I27" s="65">
        <v>0</v>
      </c>
      <c r="J27" s="111">
        <f t="shared" si="1"/>
        <v>128000</v>
      </c>
      <c r="K27" s="80"/>
    </row>
    <row r="28" spans="1:11" s="66" customFormat="1" ht="13.9" x14ac:dyDescent="0.4">
      <c r="A28" s="64"/>
      <c r="B28" s="72" t="s">
        <v>217</v>
      </c>
      <c r="C28" s="71"/>
      <c r="D28" s="71" t="s">
        <v>165</v>
      </c>
      <c r="E28" s="72" t="s">
        <v>169</v>
      </c>
      <c r="F28" s="153" t="s">
        <v>3</v>
      </c>
      <c r="G28" s="153">
        <v>12700</v>
      </c>
      <c r="H28" s="153" t="s">
        <v>3</v>
      </c>
      <c r="I28" s="153" t="s">
        <v>3</v>
      </c>
      <c r="J28" s="146">
        <f>SUM(F28:I28)</f>
        <v>12700</v>
      </c>
      <c r="K28" s="50" t="s">
        <v>281</v>
      </c>
    </row>
    <row r="29" spans="1:11" s="66" customFormat="1" ht="13.9" x14ac:dyDescent="0.4">
      <c r="A29" s="64"/>
      <c r="B29" s="72" t="s">
        <v>197</v>
      </c>
      <c r="C29" s="71"/>
      <c r="D29" s="71" t="s">
        <v>186</v>
      </c>
      <c r="E29" s="72" t="s">
        <v>187</v>
      </c>
      <c r="F29" s="45">
        <v>0</v>
      </c>
      <c r="G29" s="83">
        <v>284</v>
      </c>
      <c r="H29" s="45">
        <v>0</v>
      </c>
      <c r="I29" s="45">
        <v>0</v>
      </c>
      <c r="J29" s="97">
        <f t="shared" si="1"/>
        <v>284</v>
      </c>
      <c r="K29" s="45" t="s">
        <v>199</v>
      </c>
    </row>
    <row r="30" spans="1:11" s="66" customFormat="1" ht="13.9" x14ac:dyDescent="0.4">
      <c r="A30" s="64"/>
      <c r="B30" s="72" t="s">
        <v>198</v>
      </c>
      <c r="C30" s="71"/>
      <c r="D30" s="71" t="s">
        <v>186</v>
      </c>
      <c r="E30" s="72" t="s">
        <v>187</v>
      </c>
      <c r="F30" s="45">
        <v>0</v>
      </c>
      <c r="G30" s="83">
        <v>1019</v>
      </c>
      <c r="H30" s="45">
        <v>0</v>
      </c>
      <c r="I30" s="45">
        <v>0</v>
      </c>
      <c r="J30" s="97">
        <f t="shared" si="1"/>
        <v>1019</v>
      </c>
      <c r="K30" s="45" t="s">
        <v>199</v>
      </c>
    </row>
    <row r="31" spans="1:11" ht="13.9" x14ac:dyDescent="0.4">
      <c r="A31" s="41"/>
      <c r="B31" s="56" t="s">
        <v>107</v>
      </c>
      <c r="C31" s="76" t="s">
        <v>184</v>
      </c>
      <c r="D31" s="76" t="s">
        <v>165</v>
      </c>
      <c r="E31" s="56" t="s">
        <v>56</v>
      </c>
      <c r="F31" s="68" t="s">
        <v>3</v>
      </c>
      <c r="G31" s="83">
        <v>25600</v>
      </c>
      <c r="H31" s="68" t="s">
        <v>3</v>
      </c>
      <c r="I31" s="68" t="s">
        <v>3</v>
      </c>
      <c r="J31" s="46">
        <f>SUM(F31:I31)</f>
        <v>25600</v>
      </c>
      <c r="K31" s="45" t="s">
        <v>274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04"/>
      <c r="G32" s="104"/>
      <c r="H32" s="104"/>
      <c r="I32" s="104"/>
      <c r="J32" s="34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50571.546999999999</v>
      </c>
      <c r="G34" s="22">
        <v>101143.094</v>
      </c>
      <c r="H34" s="22">
        <v>47596.75</v>
      </c>
      <c r="I34" s="22">
        <v>0</v>
      </c>
      <c r="J34" s="24">
        <f>SUM(F34:I34)</f>
        <v>199311.391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292277.31400000001</v>
      </c>
      <c r="G35" s="22">
        <v>846164.25800000003</v>
      </c>
      <c r="H35" s="22">
        <v>368708.47399999999</v>
      </c>
      <c r="I35" s="22">
        <v>20953.268</v>
      </c>
      <c r="J35" s="24">
        <f>SUM(F35:I35)</f>
        <v>1528103.314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04"/>
      <c r="G36" s="104"/>
      <c r="H36" s="104"/>
      <c r="I36" s="104"/>
      <c r="J36" s="104"/>
      <c r="K36" s="104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16527.063999999998</v>
      </c>
      <c r="G37" s="45">
        <v>74087.063999999998</v>
      </c>
      <c r="H37" s="45">
        <v>0</v>
      </c>
      <c r="I37" s="45">
        <v>0</v>
      </c>
      <c r="J37" s="46">
        <f t="shared" ref="J37:J54" si="2">SUM(F37:I37)</f>
        <v>90614.127999999997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238</v>
      </c>
      <c r="G38" s="45">
        <v>13802</v>
      </c>
      <c r="H38" s="45">
        <v>0</v>
      </c>
      <c r="I38" s="45">
        <v>0</v>
      </c>
      <c r="J38" s="46">
        <f t="shared" si="2"/>
        <v>14040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71802.607000000004</v>
      </c>
      <c r="G39" s="45">
        <v>792836.80099999998</v>
      </c>
      <c r="H39" s="45">
        <v>43572.000999999997</v>
      </c>
      <c r="I39" s="45">
        <v>112893.323</v>
      </c>
      <c r="J39" s="46">
        <f t="shared" si="2"/>
        <v>1021104.732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22591.742999999999</v>
      </c>
      <c r="G40" s="45">
        <v>120793.889</v>
      </c>
      <c r="H40" s="45">
        <v>0</v>
      </c>
      <c r="I40" s="45">
        <v>0</v>
      </c>
      <c r="J40" s="46">
        <f t="shared" si="2"/>
        <v>143385.63199999998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6845.259</v>
      </c>
      <c r="G41" s="45">
        <v>93049.03</v>
      </c>
      <c r="H41" s="45">
        <v>0</v>
      </c>
      <c r="I41" s="45">
        <v>8500</v>
      </c>
      <c r="J41" s="46">
        <f t="shared" si="2"/>
        <v>108394.289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1280.9970000000001</v>
      </c>
      <c r="G42" s="45">
        <v>13417.825999999999</v>
      </c>
      <c r="H42" s="45">
        <v>0</v>
      </c>
      <c r="I42" s="45">
        <v>0</v>
      </c>
      <c r="J42" s="46">
        <f t="shared" si="2"/>
        <v>14698.822999999999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8644.9830000000002</v>
      </c>
      <c r="G43" s="45">
        <v>17807.838</v>
      </c>
      <c r="H43" s="45">
        <v>0</v>
      </c>
      <c r="I43" s="45">
        <v>0</v>
      </c>
      <c r="J43" s="46">
        <f t="shared" si="2"/>
        <v>26452.821</v>
      </c>
      <c r="K43" s="56" t="s">
        <v>167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40068.360999999997</v>
      </c>
      <c r="G44" s="83">
        <v>52229.4</v>
      </c>
      <c r="H44" s="83">
        <v>0</v>
      </c>
      <c r="I44" s="83">
        <v>2400</v>
      </c>
      <c r="J44" s="46">
        <f t="shared" si="2"/>
        <v>94697.760999999999</v>
      </c>
      <c r="K44" s="56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1300</v>
      </c>
      <c r="G45" s="83">
        <v>13266.353999999999</v>
      </c>
      <c r="H45" s="83">
        <v>0</v>
      </c>
      <c r="I45" s="83">
        <v>0</v>
      </c>
      <c r="J45" s="46">
        <f>SUM(F45:I45)</f>
        <v>14566.353999999999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500.02199999999999</v>
      </c>
      <c r="G46" s="83">
        <v>25741.596000000001</v>
      </c>
      <c r="H46" s="83">
        <v>0</v>
      </c>
      <c r="I46" s="83">
        <v>0</v>
      </c>
      <c r="J46" s="46">
        <f t="shared" si="2"/>
        <v>26241.618000000002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401.245</v>
      </c>
      <c r="G47" s="83">
        <v>5882.0389999999998</v>
      </c>
      <c r="H47" s="83">
        <v>0</v>
      </c>
      <c r="I47" s="83">
        <v>0</v>
      </c>
      <c r="J47" s="46">
        <f t="shared" si="2"/>
        <v>6283.2839999999997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144102.50599999999</v>
      </c>
      <c r="G48" s="83">
        <v>357833.00199999998</v>
      </c>
      <c r="H48" s="83">
        <v>0</v>
      </c>
      <c r="I48" s="83">
        <v>273000</v>
      </c>
      <c r="J48" s="46">
        <f t="shared" si="2"/>
        <v>774935.50799999991</v>
      </c>
      <c r="K48" s="56" t="s">
        <v>167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4201.1779999999999</v>
      </c>
      <c r="H49" s="83">
        <v>0</v>
      </c>
      <c r="I49" s="83">
        <v>0</v>
      </c>
      <c r="J49" s="46">
        <f t="shared" si="2"/>
        <v>4201.1779999999999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26933.363000000001</v>
      </c>
      <c r="G50" s="83">
        <v>30006.407999999999</v>
      </c>
      <c r="H50" s="83">
        <v>0</v>
      </c>
      <c r="I50" s="83">
        <v>0</v>
      </c>
      <c r="J50" s="46">
        <f>SUM(F50:I50)</f>
        <v>56939.771000000001</v>
      </c>
      <c r="K50" s="56" t="s">
        <v>264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1767.288</v>
      </c>
      <c r="G51" s="83">
        <v>13469.011</v>
      </c>
      <c r="H51" s="83">
        <v>0</v>
      </c>
      <c r="I51" s="83">
        <v>0</v>
      </c>
      <c r="J51" s="46">
        <f t="shared" si="2"/>
        <v>15236.299000000001</v>
      </c>
      <c r="K51" s="56" t="s">
        <v>167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23765.447</v>
      </c>
      <c r="G52" s="83">
        <v>54575.436000000002</v>
      </c>
      <c r="H52" s="83">
        <v>0</v>
      </c>
      <c r="I52" s="83">
        <v>3600</v>
      </c>
      <c r="J52" s="46">
        <f t="shared" si="2"/>
        <v>81940.883000000002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24834.974999999999</v>
      </c>
      <c r="H53" s="83">
        <v>0</v>
      </c>
      <c r="I53" s="83">
        <v>0</v>
      </c>
      <c r="J53" s="46">
        <f t="shared" si="2"/>
        <v>35334.974999999999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72" t="s">
        <v>152</v>
      </c>
      <c r="F54" s="133">
        <v>3000</v>
      </c>
      <c r="G54" s="133">
        <v>31400</v>
      </c>
      <c r="H54" s="133">
        <v>0</v>
      </c>
      <c r="I54" s="133">
        <v>80000</v>
      </c>
      <c r="J54" s="134">
        <f t="shared" si="2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04"/>
      <c r="G55" s="104"/>
      <c r="H55" s="104"/>
      <c r="I55" s="104"/>
      <c r="J55" s="34"/>
      <c r="K55" s="104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63000</v>
      </c>
      <c r="G56" s="22">
        <v>197000</v>
      </c>
      <c r="H56" s="22">
        <v>43000</v>
      </c>
      <c r="I56" s="22">
        <v>0</v>
      </c>
      <c r="J56" s="24">
        <f t="shared" ref="J56:J70" si="3">SUM(F56:I56)</f>
        <v>303000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754945.772</v>
      </c>
      <c r="G57" s="22">
        <v>1260367.4369999999</v>
      </c>
      <c r="H57" s="22"/>
      <c r="I57" s="22"/>
      <c r="J57" s="24">
        <f>SUM(F57:I57)</f>
        <v>2015313.2089999998</v>
      </c>
      <c r="K57" s="22" t="s">
        <v>228</v>
      </c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27945.275000000001</v>
      </c>
      <c r="G58" s="22">
        <v>113799.96400000001</v>
      </c>
      <c r="H58" s="22">
        <v>0</v>
      </c>
      <c r="I58" s="22">
        <v>0</v>
      </c>
      <c r="J58" s="24">
        <f t="shared" si="3"/>
        <v>141745.239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37497.821000000004</v>
      </c>
      <c r="G59" s="22">
        <v>99264.103000000003</v>
      </c>
      <c r="H59" s="22">
        <v>14307.564</v>
      </c>
      <c r="I59" s="22">
        <v>0</v>
      </c>
      <c r="J59" s="24">
        <f t="shared" si="3"/>
        <v>151069.48800000001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55228.665000000001</v>
      </c>
      <c r="G60" s="22">
        <v>328260.36599999998</v>
      </c>
      <c r="H60" s="22">
        <v>6151.61</v>
      </c>
      <c r="I60" s="22">
        <v>65214.962</v>
      </c>
      <c r="J60" s="24">
        <f t="shared" si="3"/>
        <v>454855.60299999994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66145</v>
      </c>
      <c r="G61" s="45">
        <v>117705</v>
      </c>
      <c r="H61" s="45">
        <v>0</v>
      </c>
      <c r="I61" s="45">
        <v>0</v>
      </c>
      <c r="J61" s="46">
        <f>SUM(F61:I61)</f>
        <v>183850</v>
      </c>
      <c r="K61" s="45" t="s">
        <v>299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9889.6620000000003</v>
      </c>
      <c r="G62" s="22">
        <v>45757.048999999999</v>
      </c>
      <c r="H62" s="22">
        <v>0</v>
      </c>
      <c r="I62" s="22">
        <v>0</v>
      </c>
      <c r="J62" s="24">
        <f t="shared" si="3"/>
        <v>55646.710999999996</v>
      </c>
      <c r="K62" s="22" t="s">
        <v>288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539063</v>
      </c>
      <c r="G63" s="19">
        <v>1327236</v>
      </c>
      <c r="H63" s="19">
        <v>45262</v>
      </c>
      <c r="I63" s="19">
        <v>97424</v>
      </c>
      <c r="J63" s="24">
        <f t="shared" si="3"/>
        <v>2008985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2888.866</v>
      </c>
      <c r="G64" s="19">
        <v>8663.6020000000008</v>
      </c>
      <c r="H64" s="19">
        <v>1465.6790000000001</v>
      </c>
      <c r="I64" s="9" t="s">
        <v>3</v>
      </c>
      <c r="J64" s="24">
        <f t="shared" si="3"/>
        <v>13018.147000000001</v>
      </c>
      <c r="K64" s="102"/>
    </row>
    <row r="65" spans="1:11" ht="13.9" x14ac:dyDescent="0.4">
      <c r="A65" s="39"/>
      <c r="B65" s="2" t="s">
        <v>118</v>
      </c>
      <c r="C65" s="13" t="s">
        <v>184</v>
      </c>
      <c r="D65" s="13"/>
      <c r="E65" s="2" t="s">
        <v>205</v>
      </c>
      <c r="F65" s="120">
        <v>700</v>
      </c>
      <c r="G65" s="120">
        <f>'15'!G65*(1-0.05)</f>
        <v>19095</v>
      </c>
      <c r="H65" s="120">
        <v>400</v>
      </c>
      <c r="I65" s="120">
        <v>0</v>
      </c>
      <c r="J65" s="121">
        <f t="shared" si="3"/>
        <v>20195</v>
      </c>
      <c r="K65" s="120" t="s">
        <v>236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192305.46</v>
      </c>
      <c r="G66" s="22">
        <v>168965.78200000001</v>
      </c>
      <c r="H66" s="22">
        <v>6142.8339999999998</v>
      </c>
      <c r="I66" s="19">
        <v>48713.156000000003</v>
      </c>
      <c r="J66" s="24">
        <f>SUM(F66:I66)</f>
        <v>416127.23199999996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49919.786</v>
      </c>
      <c r="G67" s="22">
        <v>104553.298</v>
      </c>
      <c r="H67" s="22">
        <v>0</v>
      </c>
      <c r="I67" s="22">
        <v>133345.16699999999</v>
      </c>
      <c r="J67" s="24">
        <f t="shared" ref="J67" si="4">SUM(F67:I67)</f>
        <v>287818.25099999999</v>
      </c>
      <c r="K67" s="24"/>
    </row>
    <row r="68" spans="1:11" ht="13.9" x14ac:dyDescent="0.4">
      <c r="A68" s="39"/>
      <c r="B68" s="2" t="s">
        <v>291</v>
      </c>
      <c r="C68" s="13"/>
      <c r="D68" s="13"/>
      <c r="E68" s="2"/>
      <c r="F68" s="22"/>
      <c r="G68" s="22"/>
      <c r="H68" s="22"/>
      <c r="I68" s="22"/>
      <c r="J68" s="24"/>
      <c r="K68" s="24"/>
    </row>
    <row r="69" spans="1:11" ht="13.9" x14ac:dyDescent="0.4">
      <c r="A69" s="39"/>
      <c r="B69" s="2" t="s">
        <v>120</v>
      </c>
      <c r="C69" s="13" t="s">
        <v>184</v>
      </c>
      <c r="D69" s="13"/>
      <c r="E69" s="2" t="s">
        <v>66</v>
      </c>
      <c r="F69" s="22">
        <v>17037.348999999998</v>
      </c>
      <c r="G69" s="22">
        <v>46744.167000000001</v>
      </c>
      <c r="H69" s="22">
        <v>3725.8589999999999</v>
      </c>
      <c r="I69" s="22">
        <v>0</v>
      </c>
      <c r="J69" s="24">
        <f>SUM(F69:I69)</f>
        <v>67507.375</v>
      </c>
      <c r="K69" s="33"/>
    </row>
    <row r="70" spans="1:11" ht="13.9" x14ac:dyDescent="0.4">
      <c r="A70" s="39"/>
      <c r="B70" s="56" t="s">
        <v>161</v>
      </c>
      <c r="C70" s="53"/>
      <c r="D70" s="53"/>
      <c r="E70" s="56" t="s">
        <v>160</v>
      </c>
      <c r="F70" s="45">
        <v>31871.504000000001</v>
      </c>
      <c r="G70" s="45">
        <v>55934.756999999998</v>
      </c>
      <c r="H70" s="45">
        <v>0</v>
      </c>
      <c r="I70" s="45">
        <v>0</v>
      </c>
      <c r="J70" s="46">
        <f t="shared" si="3"/>
        <v>87806.260999999999</v>
      </c>
      <c r="K70" s="45" t="s">
        <v>262</v>
      </c>
    </row>
    <row r="71" spans="1:11" ht="13.9" x14ac:dyDescent="0.4">
      <c r="A71" s="39"/>
      <c r="B71" s="2" t="s">
        <v>121</v>
      </c>
      <c r="C71" s="13" t="s">
        <v>184</v>
      </c>
      <c r="D71" s="13"/>
      <c r="E71" s="2" t="s">
        <v>67</v>
      </c>
      <c r="F71" s="22">
        <v>645960</v>
      </c>
      <c r="G71" s="22">
        <v>210620</v>
      </c>
      <c r="H71" s="22" t="s">
        <v>16</v>
      </c>
      <c r="I71" s="9" t="s">
        <v>3</v>
      </c>
      <c r="J71" s="24">
        <f>SUM(F71:I71)</f>
        <v>856580</v>
      </c>
      <c r="K71" s="22" t="s">
        <v>290</v>
      </c>
    </row>
    <row r="72" spans="1:11" ht="13.9" x14ac:dyDescent="0.4">
      <c r="A72" s="39"/>
      <c r="B72" s="72" t="s">
        <v>162</v>
      </c>
      <c r="C72" s="71"/>
      <c r="D72" s="71"/>
      <c r="E72" s="72" t="s">
        <v>182</v>
      </c>
      <c r="F72" s="45">
        <f>149539.235*8%</f>
        <v>11963.138799999999</v>
      </c>
      <c r="G72" s="45">
        <f>149539.235*0.92</f>
        <v>137576.0962</v>
      </c>
      <c r="H72" s="45">
        <v>0</v>
      </c>
      <c r="I72" s="45">
        <v>0</v>
      </c>
      <c r="J72" s="46">
        <f>SUM(F72:I72)</f>
        <v>149539.23499999999</v>
      </c>
      <c r="K72" s="45" t="s">
        <v>261</v>
      </c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45">
        <v>105129.121</v>
      </c>
      <c r="G73" s="45">
        <v>97417.402000000002</v>
      </c>
      <c r="H73" s="45">
        <v>0</v>
      </c>
      <c r="I73" s="45">
        <v>0</v>
      </c>
      <c r="J73" s="46">
        <f>SUM(F73:I73)</f>
        <v>202546.52299999999</v>
      </c>
      <c r="K73" s="45" t="s">
        <v>262</v>
      </c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04"/>
      <c r="G74" s="104"/>
      <c r="H74" s="104"/>
      <c r="I74" s="104"/>
      <c r="J74" s="104"/>
      <c r="K74" s="104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245.643</v>
      </c>
      <c r="G75" s="19">
        <v>321.916</v>
      </c>
      <c r="H75" s="19">
        <v>166.42699999999999</v>
      </c>
      <c r="I75" s="19">
        <v>0</v>
      </c>
      <c r="J75" s="24">
        <f>SUM(F75:I75)</f>
        <v>733.98599999999999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134950</v>
      </c>
      <c r="H76" s="19">
        <v>0</v>
      </c>
      <c r="I76" s="19">
        <v>0</v>
      </c>
      <c r="J76" s="24">
        <f>SUM(F76:I76)</f>
        <v>134950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45" t="s">
        <v>3</v>
      </c>
      <c r="G77" s="145" t="s">
        <v>3</v>
      </c>
      <c r="H77" s="145" t="s">
        <v>3</v>
      </c>
      <c r="I77" s="145" t="s">
        <v>3</v>
      </c>
      <c r="J77" s="121">
        <f>'15'!J77*(1-0.05)</f>
        <v>19000</v>
      </c>
      <c r="K77" s="120" t="s">
        <v>236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57653.284500000002</v>
      </c>
      <c r="G78" s="22">
        <v>251241.53985</v>
      </c>
      <c r="H78" s="22">
        <v>0</v>
      </c>
      <c r="I78" s="22">
        <v>0</v>
      </c>
      <c r="J78" s="24">
        <f>SUM(F78:I78)</f>
        <v>308894.82435000001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33">
        <v>4404.835</v>
      </c>
      <c r="G79" s="33">
        <v>11177.579</v>
      </c>
      <c r="H79" s="33">
        <v>776.52700000000004</v>
      </c>
      <c r="I79" s="33">
        <v>0</v>
      </c>
      <c r="J79" s="34">
        <f>SUM(F79:I79)</f>
        <v>16358.941000000001</v>
      </c>
      <c r="K79" s="34"/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18568.121999999999</v>
      </c>
      <c r="G80" s="19">
        <v>4973.4459999999999</v>
      </c>
      <c r="H80" s="19">
        <v>8635.8490000000002</v>
      </c>
      <c r="I80" s="19">
        <v>-279.68</v>
      </c>
      <c r="J80" s="24">
        <f>SUM(F80:I80)</f>
        <v>31897.737000000001</v>
      </c>
      <c r="K80" s="102"/>
    </row>
    <row r="81" spans="1:11" ht="13.9" x14ac:dyDescent="0.4">
      <c r="A81" s="40"/>
      <c r="B81" s="2" t="s">
        <v>125</v>
      </c>
      <c r="C81" s="13" t="s">
        <v>184</v>
      </c>
      <c r="D81" s="13"/>
      <c r="E81" s="2" t="s">
        <v>73</v>
      </c>
      <c r="F81" s="22">
        <v>565.85400000000004</v>
      </c>
      <c r="G81" s="22">
        <v>2325.451</v>
      </c>
      <c r="H81" s="22">
        <v>232.51400000000001</v>
      </c>
      <c r="I81" s="22">
        <v>0</v>
      </c>
      <c r="J81" s="24">
        <f>SUM(F81:I81)</f>
        <v>3123.8190000000004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120">
        <v>500</v>
      </c>
      <c r="G82" s="120">
        <f>'15'!G82*(1-0.05)</f>
        <v>25650</v>
      </c>
      <c r="H82" s="120">
        <v>800</v>
      </c>
      <c r="I82" s="120">
        <v>0</v>
      </c>
      <c r="J82" s="121">
        <f>SUM(F82:I82)</f>
        <v>26950</v>
      </c>
      <c r="K82" s="120" t="s">
        <v>236</v>
      </c>
    </row>
    <row r="83" spans="1:11" ht="13.9" x14ac:dyDescent="0.4">
      <c r="A83" s="40"/>
      <c r="B83" s="2" t="s">
        <v>127</v>
      </c>
      <c r="C83" s="13" t="s">
        <v>184</v>
      </c>
      <c r="D83" s="13"/>
      <c r="E83" s="2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ref="J83:J87" si="5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50512.824000000001</v>
      </c>
      <c r="H84" s="19">
        <v>0</v>
      </c>
      <c r="I84" s="19">
        <v>0</v>
      </c>
      <c r="J84" s="24">
        <f t="shared" si="5"/>
        <v>50512.824000000001</v>
      </c>
      <c r="K84" s="8" t="s">
        <v>226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281128.46999999997</v>
      </c>
      <c r="G85" s="22">
        <v>691700.42</v>
      </c>
      <c r="H85" s="22">
        <v>0</v>
      </c>
      <c r="I85" s="22">
        <v>0</v>
      </c>
      <c r="J85" s="24">
        <f t="shared" si="5"/>
        <v>972828.89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95825</v>
      </c>
      <c r="G86" s="22">
        <v>1084761</v>
      </c>
      <c r="H86" s="22">
        <v>0</v>
      </c>
      <c r="I86" s="22">
        <v>0</v>
      </c>
      <c r="J86" s="24">
        <f t="shared" si="5"/>
        <v>1180586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9871.6635499999993</v>
      </c>
      <c r="G87" s="22">
        <v>24065.793129999998</v>
      </c>
      <c r="H87" s="22">
        <v>5214.68379</v>
      </c>
      <c r="I87" s="22">
        <v>0</v>
      </c>
      <c r="J87" s="24">
        <f t="shared" si="5"/>
        <v>39152.140469999998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45" t="s">
        <v>3</v>
      </c>
      <c r="G88" s="145" t="s">
        <v>3</v>
      </c>
      <c r="H88" s="145" t="s">
        <v>3</v>
      </c>
      <c r="I88" s="145" t="s">
        <v>3</v>
      </c>
      <c r="J88" s="121">
        <f>'15'!J88*(1-0.05)</f>
        <v>10925</v>
      </c>
      <c r="K88" s="120" t="s">
        <v>236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120">
        <f>'15'!F89*(1-0.09)</f>
        <v>9100</v>
      </c>
      <c r="G89" s="120">
        <f>20000*(1-0.05)</f>
        <v>19000</v>
      </c>
      <c r="H89" s="120">
        <v>0</v>
      </c>
      <c r="I89" s="120">
        <v>0</v>
      </c>
      <c r="J89" s="121">
        <f>SUM(F89:I89)</f>
        <v>28100</v>
      </c>
      <c r="K89" s="120" t="s">
        <v>254</v>
      </c>
    </row>
    <row r="90" spans="1:11" ht="13.9" x14ac:dyDescent="0.4">
      <c r="A90" s="40"/>
      <c r="B90" s="2" t="s">
        <v>19</v>
      </c>
      <c r="C90" s="13" t="s">
        <v>184</v>
      </c>
      <c r="D90" s="13"/>
      <c r="E90" s="2" t="s">
        <v>82</v>
      </c>
      <c r="F90" s="22">
        <f>278446.049</f>
        <v>278446.049</v>
      </c>
      <c r="G90" s="22">
        <f>369886.308</f>
        <v>369886.30800000002</v>
      </c>
      <c r="H90" s="22">
        <f>22602.202</f>
        <v>22602.202000000001</v>
      </c>
      <c r="I90" s="22">
        <f>79148.671</f>
        <v>79148.671000000002</v>
      </c>
      <c r="J90" s="24">
        <f t="shared" ref="J90:J100" si="6">SUM(F90:I90)</f>
        <v>750083.2300000001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170000</v>
      </c>
      <c r="G91" s="22">
        <v>313000</v>
      </c>
      <c r="H91" s="22">
        <v>0</v>
      </c>
      <c r="I91" s="19">
        <v>0</v>
      </c>
      <c r="J91" s="24">
        <f t="shared" si="6"/>
        <v>483000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564800</v>
      </c>
      <c r="G92" s="22">
        <v>40300</v>
      </c>
      <c r="H92" s="22">
        <v>0</v>
      </c>
      <c r="I92" s="19">
        <v>87900</v>
      </c>
      <c r="J92" s="24">
        <f t="shared" si="6"/>
        <v>693000</v>
      </c>
      <c r="K92" s="101" t="s">
        <v>201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12788.3</v>
      </c>
      <c r="G93" s="22">
        <v>78142.899999999994</v>
      </c>
      <c r="H93" s="22">
        <v>2619.1999999999998</v>
      </c>
      <c r="I93" s="22">
        <v>1748.6</v>
      </c>
      <c r="J93" s="24">
        <f t="shared" si="6"/>
        <v>95299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45">
        <v>14808</v>
      </c>
      <c r="G94" s="45">
        <v>25966</v>
      </c>
      <c r="H94" s="83">
        <v>1330</v>
      </c>
      <c r="I94" s="45">
        <v>0</v>
      </c>
      <c r="J94" s="46">
        <f t="shared" si="6"/>
        <v>42104</v>
      </c>
      <c r="K94" s="34"/>
    </row>
    <row r="95" spans="1:11" ht="13.9" x14ac:dyDescent="0.4">
      <c r="A95" s="40"/>
      <c r="B95" s="72" t="s">
        <v>134</v>
      </c>
      <c r="C95" s="71" t="s">
        <v>184</v>
      </c>
      <c r="D95" s="71"/>
      <c r="E95" s="72" t="s">
        <v>87</v>
      </c>
      <c r="F95" s="120">
        <v>0</v>
      </c>
      <c r="G95" s="120">
        <v>0</v>
      </c>
      <c r="H95" s="120">
        <v>0</v>
      </c>
      <c r="I95" s="120">
        <v>0</v>
      </c>
      <c r="J95" s="121">
        <f t="shared" si="6"/>
        <v>0</v>
      </c>
      <c r="K95" s="45"/>
    </row>
    <row r="96" spans="1:11" ht="13.9" x14ac:dyDescent="0.4">
      <c r="A96" s="40"/>
      <c r="B96" s="23" t="s">
        <v>24</v>
      </c>
      <c r="C96" s="69" t="s">
        <v>184</v>
      </c>
      <c r="D96" s="69"/>
      <c r="E96" s="23" t="s">
        <v>178</v>
      </c>
      <c r="F96" s="22">
        <v>89020</v>
      </c>
      <c r="G96" s="22">
        <v>333000</v>
      </c>
      <c r="H96" s="22">
        <v>48140</v>
      </c>
      <c r="I96" s="19" t="s">
        <v>3</v>
      </c>
      <c r="J96" s="24">
        <f t="shared" si="6"/>
        <v>470160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1165.56645</v>
      </c>
      <c r="G97" s="22">
        <v>13464.68914</v>
      </c>
      <c r="H97" s="22">
        <v>1274.2916700000001</v>
      </c>
      <c r="I97" s="22">
        <v>0</v>
      </c>
      <c r="J97" s="24">
        <f t="shared" si="6"/>
        <v>15904.547260000001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101774.76</v>
      </c>
      <c r="G98" s="22">
        <v>187495.62174999999</v>
      </c>
      <c r="H98" s="22">
        <v>12900.528969999999</v>
      </c>
      <c r="I98" s="22">
        <v>0</v>
      </c>
      <c r="J98" s="24">
        <f t="shared" si="6"/>
        <v>302170.91071999999</v>
      </c>
      <c r="K98" s="102"/>
    </row>
    <row r="99" spans="1:11" ht="13.9" x14ac:dyDescent="0.4">
      <c r="A99" s="40"/>
      <c r="B99" s="2" t="s">
        <v>137</v>
      </c>
      <c r="C99" s="13" t="s">
        <v>184</v>
      </c>
      <c r="D99" s="13"/>
      <c r="E99" s="2" t="s">
        <v>90</v>
      </c>
      <c r="F99" s="22">
        <v>47468.427000000003</v>
      </c>
      <c r="G99" s="22">
        <v>120830.033</v>
      </c>
      <c r="H99" s="22">
        <v>0</v>
      </c>
      <c r="I99" s="19">
        <v>0</v>
      </c>
      <c r="J99" s="24">
        <f t="shared" si="6"/>
        <v>168298.46</v>
      </c>
      <c r="K99" s="110"/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2000</v>
      </c>
      <c r="G100" s="19">
        <v>230000</v>
      </c>
      <c r="H100" s="19">
        <v>10000</v>
      </c>
      <c r="I100" s="19">
        <v>0</v>
      </c>
      <c r="J100" s="24">
        <f t="shared" si="6"/>
        <v>242000</v>
      </c>
      <c r="K100" s="107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50354.169000000002</v>
      </c>
      <c r="G101" s="19">
        <v>155851.82871</v>
      </c>
      <c r="H101" s="19">
        <v>6273.4545600000001</v>
      </c>
      <c r="I101" s="19">
        <v>0</v>
      </c>
      <c r="J101" s="24">
        <f>SUM(F101:I101)</f>
        <v>212479.45227000001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120">
        <v>1500</v>
      </c>
      <c r="G102" s="120">
        <f>'15'!G102*(1-0.05)</f>
        <v>183350</v>
      </c>
      <c r="H102" s="120">
        <v>300</v>
      </c>
      <c r="I102" s="120">
        <v>0</v>
      </c>
      <c r="J102" s="121">
        <f>SUM(F102:I102)</f>
        <v>185150</v>
      </c>
      <c r="K102" s="120" t="s">
        <v>253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374440.46100000001</v>
      </c>
      <c r="G103" s="22">
        <v>652155.21400000004</v>
      </c>
      <c r="H103" s="22">
        <v>255294.88399999999</v>
      </c>
      <c r="I103" s="22">
        <v>776799.78</v>
      </c>
      <c r="J103" s="24">
        <f>SUM(F103:I103)</f>
        <v>2058690.3390000002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1204494.7930000001</v>
      </c>
      <c r="G104" s="22">
        <v>1410728.0349999999</v>
      </c>
      <c r="H104" s="22">
        <v>1046352.4620000001</v>
      </c>
      <c r="I104" s="22">
        <v>1719346.713</v>
      </c>
      <c r="J104" s="24">
        <f>SUM(F104:I104)</f>
        <v>5380922.0030000005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04"/>
      <c r="G105" s="104"/>
      <c r="H105" s="104"/>
      <c r="I105" s="104"/>
      <c r="J105" s="104"/>
      <c r="K105" s="104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16000</v>
      </c>
      <c r="H106" s="68" t="s">
        <v>3</v>
      </c>
      <c r="I106" s="68" t="s">
        <v>3</v>
      </c>
      <c r="J106" s="46">
        <f t="shared" ref="J106:J111" si="7">SUM(F106:I106)</f>
        <v>16000</v>
      </c>
      <c r="K106" s="45" t="s">
        <v>274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83">
        <v>3000</v>
      </c>
      <c r="G107" s="83">
        <f>11000+12000</f>
        <v>23000</v>
      </c>
      <c r="H107" s="68" t="s">
        <v>3</v>
      </c>
      <c r="I107" s="68" t="s">
        <v>3</v>
      </c>
      <c r="J107" s="46">
        <f t="shared" si="7"/>
        <v>26000</v>
      </c>
      <c r="K107" s="45" t="s">
        <v>275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31200</v>
      </c>
      <c r="H108" s="68" t="s">
        <v>3</v>
      </c>
      <c r="I108" s="68" t="s">
        <v>3</v>
      </c>
      <c r="J108" s="46">
        <f t="shared" si="7"/>
        <v>31200</v>
      </c>
      <c r="K108" s="45" t="s">
        <v>275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83">
        <v>46500</v>
      </c>
      <c r="H109" s="68" t="s">
        <v>3</v>
      </c>
      <c r="I109" s="68" t="s">
        <v>3</v>
      </c>
      <c r="J109" s="46">
        <f t="shared" si="7"/>
        <v>46500</v>
      </c>
      <c r="K109" s="45" t="s">
        <v>275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19">
        <v>0</v>
      </c>
      <c r="G110" s="19">
        <v>32000</v>
      </c>
      <c r="H110" s="19">
        <v>0</v>
      </c>
      <c r="I110" s="19">
        <v>0</v>
      </c>
      <c r="J110" s="24">
        <f t="shared" si="7"/>
        <v>32000</v>
      </c>
      <c r="K110" s="22"/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49">
        <v>2900</v>
      </c>
      <c r="G111" s="149">
        <v>13000</v>
      </c>
      <c r="H111" s="145" t="s">
        <v>3</v>
      </c>
      <c r="I111" s="145" t="s">
        <v>3</v>
      </c>
      <c r="J111" s="121">
        <f t="shared" si="7"/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83">
        <v>35300</v>
      </c>
      <c r="H112" s="68" t="s">
        <v>3</v>
      </c>
      <c r="I112" s="68" t="s">
        <v>3</v>
      </c>
      <c r="J112" s="46">
        <f t="shared" ref="J112:J118" si="8">SUM(F112:I112)</f>
        <v>35300</v>
      </c>
      <c r="K112" s="45" t="s">
        <v>216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1500</v>
      </c>
      <c r="H113" s="68" t="s">
        <v>3</v>
      </c>
      <c r="I113" s="68" t="s">
        <v>3</v>
      </c>
      <c r="J113" s="46">
        <f t="shared" si="8"/>
        <v>1500</v>
      </c>
      <c r="K113" s="45" t="s">
        <v>275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45" t="s">
        <v>3</v>
      </c>
      <c r="G114" s="149">
        <v>300000</v>
      </c>
      <c r="H114" s="145" t="s">
        <v>3</v>
      </c>
      <c r="I114" s="145" t="s">
        <v>3</v>
      </c>
      <c r="J114" s="121">
        <f t="shared" si="8"/>
        <v>300000</v>
      </c>
      <c r="K114" s="120" t="s">
        <v>284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206300</v>
      </c>
      <c r="H115" s="68" t="s">
        <v>3</v>
      </c>
      <c r="I115" s="68" t="s">
        <v>3</v>
      </c>
      <c r="J115" s="46">
        <f t="shared" si="8"/>
        <v>206300</v>
      </c>
      <c r="K115" s="45" t="s">
        <v>275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83">
        <v>9300</v>
      </c>
      <c r="G116" s="83">
        <v>34000</v>
      </c>
      <c r="H116" s="68" t="s">
        <v>3</v>
      </c>
      <c r="I116" s="68" t="s">
        <v>3</v>
      </c>
      <c r="J116" s="46">
        <f t="shared" si="8"/>
        <v>43300</v>
      </c>
      <c r="K116" s="45" t="s">
        <v>274</v>
      </c>
    </row>
    <row r="117" spans="1:11" s="47" customFormat="1" ht="13.9" x14ac:dyDescent="0.4">
      <c r="A117" s="70"/>
      <c r="B117" s="56" t="s">
        <v>35</v>
      </c>
      <c r="C117" s="53"/>
      <c r="D117" s="76" t="s">
        <v>165</v>
      </c>
      <c r="E117" s="56" t="s">
        <v>169</v>
      </c>
      <c r="F117" s="68" t="s">
        <v>3</v>
      </c>
      <c r="G117" s="83">
        <v>271000</v>
      </c>
      <c r="H117" s="68" t="s">
        <v>3</v>
      </c>
      <c r="I117" s="68" t="s">
        <v>3</v>
      </c>
      <c r="J117" s="46">
        <f t="shared" si="8"/>
        <v>271000</v>
      </c>
      <c r="K117" s="45" t="s">
        <v>275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68" t="s">
        <v>3</v>
      </c>
      <c r="G118" s="83">
        <v>7900</v>
      </c>
      <c r="H118" s="68" t="s">
        <v>3</v>
      </c>
      <c r="I118" s="68" t="s">
        <v>3</v>
      </c>
      <c r="J118" s="46">
        <f t="shared" si="8"/>
        <v>7900</v>
      </c>
      <c r="K118" s="45" t="s">
        <v>275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6792332.3874499984</v>
      </c>
      <c r="G120" s="21">
        <f>SUM(G10:G119)</f>
        <v>14930311.967619998</v>
      </c>
      <c r="H120" s="21">
        <f>SUM(H10:H119)</f>
        <v>2006102.82516</v>
      </c>
      <c r="I120" s="21">
        <f>SUM(I10:I119)</f>
        <v>3628318.26198</v>
      </c>
      <c r="J120" s="67">
        <f>SUM(J10:J119)</f>
        <v>27386990.442210004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8798435.2126099989</v>
      </c>
      <c r="G121" s="8"/>
      <c r="H121" s="8"/>
      <c r="I121" s="35"/>
      <c r="J121" s="22">
        <f>SUM(F120:I120)</f>
        <v>27357065.442209996</v>
      </c>
      <c r="K121" s="1">
        <f>J120-J121</f>
        <v>29925.000000007451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6795324.8874499984</v>
      </c>
      <c r="G123" s="86">
        <f>G120+G129</f>
        <v>14957244.467619998</v>
      </c>
      <c r="H123" s="86">
        <f>H120</f>
        <v>2006102.82516</v>
      </c>
      <c r="I123" s="86">
        <f>I120</f>
        <v>3628318.26198</v>
      </c>
      <c r="J123" s="86">
        <f>SUM(F123:I123)</f>
        <v>27386990.442209996</v>
      </c>
      <c r="K123" s="6">
        <f>J123-J120</f>
        <v>0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8801427.7126099989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0.24812236677808724</v>
      </c>
      <c r="G125" s="29">
        <f>G123/$J123</f>
        <v>0.54614414457775751</v>
      </c>
      <c r="H125" s="29">
        <f>H123/$J123</f>
        <v>7.3250210876333058E-2</v>
      </c>
      <c r="I125" s="29">
        <f>I123/$J123</f>
        <v>0.13248327776782223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2992.5</v>
      </c>
      <c r="G129" s="7">
        <f>0.9*$J139</f>
        <v>26932.5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9">0.1*$J132</f>
        <v>0</v>
      </c>
      <c r="G132" s="7">
        <f t="shared" ref="G132:G137" si="10">0.9*$J132</f>
        <v>0</v>
      </c>
      <c r="H132" s="7">
        <v>0</v>
      </c>
      <c r="I132" s="7">
        <v>0</v>
      </c>
      <c r="J132" s="7">
        <v>0</v>
      </c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9"/>
        <v>0</v>
      </c>
      <c r="G133" s="7">
        <f t="shared" si="10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9"/>
        <v>0</v>
      </c>
      <c r="G134" s="7">
        <f t="shared" si="10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9"/>
        <v>0</v>
      </c>
      <c r="G135" s="7">
        <f t="shared" si="10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 t="shared" si="9"/>
        <v>2992.5</v>
      </c>
      <c r="G136" s="7">
        <f t="shared" si="10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9"/>
        <v>0</v>
      </c>
      <c r="G137" s="7">
        <f t="shared" si="10"/>
        <v>0</v>
      </c>
      <c r="H137" s="7">
        <v>0</v>
      </c>
      <c r="I137" s="7">
        <v>0</v>
      </c>
      <c r="J137" s="7">
        <v>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29925</v>
      </c>
      <c r="K139" s="3" t="s">
        <v>175</v>
      </c>
    </row>
  </sheetData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D3E2-056A-42E2-B8FC-924778D1F9DA}">
  <dimension ref="A1:K139"/>
  <sheetViews>
    <sheetView topLeftCell="A59" zoomScale="60" zoomScaleNormal="60" workbookViewId="0">
      <pane xSplit="2" topLeftCell="C1" activePane="topRight" state="frozen"/>
      <selection activeCell="A26" sqref="A26"/>
      <selection pane="topRight" activeCell="I113" sqref="I113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237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6634544.6876400001</v>
      </c>
      <c r="G4" s="17">
        <f t="shared" ref="G4:I4" si="0">SUBTOTAL(9,G9:G118)</f>
        <v>15952849.242179999</v>
      </c>
      <c r="H4" s="17">
        <f t="shared" si="0"/>
        <v>1956361.1156899999</v>
      </c>
      <c r="I4" s="17">
        <f t="shared" si="0"/>
        <v>3453865.5401099999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27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5" t="s">
        <v>46</v>
      </c>
      <c r="C10" s="58"/>
      <c r="D10" s="76" t="s">
        <v>165</v>
      </c>
      <c r="E10" s="56" t="s">
        <v>169</v>
      </c>
      <c r="F10" s="77" t="s">
        <v>3</v>
      </c>
      <c r="G10" s="94">
        <v>55000</v>
      </c>
      <c r="H10" s="77" t="s">
        <v>3</v>
      </c>
      <c r="I10" s="77" t="s">
        <v>3</v>
      </c>
      <c r="J10" s="146">
        <f>SUM(F10:I10)</f>
        <v>55000</v>
      </c>
      <c r="K10" s="50" t="s">
        <v>251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1172</v>
      </c>
      <c r="H11" s="83">
        <v>0</v>
      </c>
      <c r="I11" s="83">
        <v>0</v>
      </c>
      <c r="J11" s="46">
        <f t="shared" ref="J11:J30" si="1">SUM(F11:I11)</f>
        <v>1172</v>
      </c>
      <c r="K11" s="45" t="s">
        <v>199</v>
      </c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1197</v>
      </c>
      <c r="H12" s="83">
        <v>0</v>
      </c>
      <c r="I12" s="83">
        <v>0</v>
      </c>
      <c r="J12" s="46">
        <f t="shared" si="1"/>
        <v>1197</v>
      </c>
      <c r="K12" s="45" t="s">
        <v>199</v>
      </c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83">
        <v>0</v>
      </c>
      <c r="G13" s="83">
        <v>2119</v>
      </c>
      <c r="H13" s="83">
        <v>0</v>
      </c>
      <c r="I13" s="83">
        <v>0</v>
      </c>
      <c r="J13" s="46">
        <f t="shared" si="1"/>
        <v>2119</v>
      </c>
      <c r="K13" s="45" t="s">
        <v>251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83">
        <v>23818</v>
      </c>
      <c r="H14" s="83">
        <v>0</v>
      </c>
      <c r="I14" s="83">
        <v>0</v>
      </c>
      <c r="J14" s="46">
        <f t="shared" si="1"/>
        <v>23818</v>
      </c>
      <c r="K14" s="45" t="s">
        <v>199</v>
      </c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83">
        <v>544</v>
      </c>
      <c r="H15" s="83">
        <v>0</v>
      </c>
      <c r="I15" s="83">
        <v>0</v>
      </c>
      <c r="J15" s="46">
        <f t="shared" si="1"/>
        <v>544</v>
      </c>
      <c r="K15" s="45" t="s">
        <v>199</v>
      </c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2562</v>
      </c>
      <c r="H16" s="56">
        <v>0</v>
      </c>
      <c r="I16" s="56">
        <v>0</v>
      </c>
      <c r="J16" s="46">
        <f t="shared" si="1"/>
        <v>2562</v>
      </c>
      <c r="K16" s="45" t="s">
        <v>199</v>
      </c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12297</v>
      </c>
      <c r="H17" s="56">
        <v>0</v>
      </c>
      <c r="I17" s="56">
        <v>0</v>
      </c>
      <c r="J17" s="46">
        <f t="shared" si="1"/>
        <v>12297</v>
      </c>
      <c r="K17" s="45" t="s">
        <v>199</v>
      </c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10798.641</v>
      </c>
      <c r="G18" s="19">
        <v>25084.896000000001</v>
      </c>
      <c r="H18" s="19">
        <v>0</v>
      </c>
      <c r="I18" s="19">
        <v>48984.02</v>
      </c>
      <c r="J18" s="24">
        <f t="shared" si="1"/>
        <v>84867.557000000001</v>
      </c>
      <c r="K18" s="115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13435</v>
      </c>
      <c r="H19" s="83">
        <v>0</v>
      </c>
      <c r="I19" s="83">
        <v>0</v>
      </c>
      <c r="J19" s="46">
        <f t="shared" si="1"/>
        <v>13435</v>
      </c>
      <c r="K19" s="45" t="s">
        <v>199</v>
      </c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1919</v>
      </c>
      <c r="H20" s="83">
        <v>0</v>
      </c>
      <c r="I20" s="83">
        <v>0</v>
      </c>
      <c r="J20" s="46">
        <f t="shared" si="1"/>
        <v>1919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120">
        <v>0</v>
      </c>
      <c r="G21" s="120">
        <v>90000</v>
      </c>
      <c r="H21" s="120">
        <v>0</v>
      </c>
      <c r="I21" s="120">
        <v>0</v>
      </c>
      <c r="J21" s="121">
        <v>85000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4962</v>
      </c>
      <c r="H22" s="45">
        <v>0</v>
      </c>
      <c r="I22" s="45">
        <v>0</v>
      </c>
      <c r="J22" s="46">
        <f t="shared" si="1"/>
        <v>4962</v>
      </c>
      <c r="K22" s="45" t="s">
        <v>199</v>
      </c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15143.57</v>
      </c>
      <c r="G23" s="22">
        <f>31683.165+6677.36</f>
        <v>38360.525000000001</v>
      </c>
      <c r="H23" s="22">
        <v>150.005</v>
      </c>
      <c r="I23" s="22">
        <v>0</v>
      </c>
      <c r="J23" s="24">
        <f t="shared" si="1"/>
        <v>53654.1</v>
      </c>
      <c r="K23" s="3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728</v>
      </c>
      <c r="H24" s="45">
        <v>0</v>
      </c>
      <c r="I24" s="45">
        <v>0</v>
      </c>
      <c r="J24" s="46">
        <f t="shared" si="1"/>
        <v>728</v>
      </c>
      <c r="K24" s="45" t="s">
        <v>199</v>
      </c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3992.5923299999999</v>
      </c>
      <c r="G25" s="22">
        <v>19962.961670000001</v>
      </c>
      <c r="H25" s="19">
        <v>2661.72822</v>
      </c>
      <c r="I25" s="19">
        <v>56040.561110000002</v>
      </c>
      <c r="J25" s="24">
        <f t="shared" si="1"/>
        <v>82657.843330000003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16523</v>
      </c>
      <c r="H26" s="83">
        <v>0</v>
      </c>
      <c r="I26" s="83">
        <v>0</v>
      </c>
      <c r="J26" s="46">
        <f t="shared" si="1"/>
        <v>16523</v>
      </c>
      <c r="K26" s="45" t="s">
        <v>199</v>
      </c>
    </row>
    <row r="27" spans="1:11" s="66" customFormat="1" ht="13.9" x14ac:dyDescent="0.4">
      <c r="A27" s="64"/>
      <c r="B27" s="2" t="s">
        <v>106</v>
      </c>
      <c r="C27" s="13" t="s">
        <v>184</v>
      </c>
      <c r="D27" s="13"/>
      <c r="E27" s="2" t="s">
        <v>55</v>
      </c>
      <c r="F27" s="22">
        <v>13250</v>
      </c>
      <c r="G27" s="19">
        <v>117250</v>
      </c>
      <c r="H27" s="19">
        <v>2000</v>
      </c>
      <c r="I27" s="19">
        <v>0</v>
      </c>
      <c r="J27" s="24">
        <f t="shared" ref="J27" si="2">SUM(F27:I27)</f>
        <v>132500</v>
      </c>
      <c r="K27" s="80"/>
    </row>
    <row r="28" spans="1:11" s="66" customFormat="1" ht="13.9" x14ac:dyDescent="0.4">
      <c r="A28" s="64"/>
      <c r="B28" s="72" t="s">
        <v>217</v>
      </c>
      <c r="C28" s="71"/>
      <c r="D28" s="71" t="s">
        <v>165</v>
      </c>
      <c r="E28" s="72" t="s">
        <v>169</v>
      </c>
      <c r="F28" s="153" t="s">
        <v>3</v>
      </c>
      <c r="G28" s="153">
        <v>12700</v>
      </c>
      <c r="H28" s="153" t="s">
        <v>3</v>
      </c>
      <c r="I28" s="153" t="s">
        <v>3</v>
      </c>
      <c r="J28" s="146">
        <f>SUM(F28:I28)</f>
        <v>12700</v>
      </c>
      <c r="K28" s="50" t="s">
        <v>281</v>
      </c>
    </row>
    <row r="29" spans="1:11" s="66" customFormat="1" ht="13.9" x14ac:dyDescent="0.4">
      <c r="A29" s="64"/>
      <c r="B29" s="72" t="s">
        <v>197</v>
      </c>
      <c r="C29" s="71"/>
      <c r="D29" s="71" t="s">
        <v>186</v>
      </c>
      <c r="E29" s="72" t="s">
        <v>187</v>
      </c>
      <c r="F29" s="45">
        <v>0</v>
      </c>
      <c r="G29" s="83">
        <v>253</v>
      </c>
      <c r="H29" s="45">
        <v>0</v>
      </c>
      <c r="I29" s="45">
        <v>0</v>
      </c>
      <c r="J29" s="97">
        <f t="shared" si="1"/>
        <v>253</v>
      </c>
      <c r="K29" s="45" t="s">
        <v>199</v>
      </c>
    </row>
    <row r="30" spans="1:11" s="66" customFormat="1" ht="13.9" x14ac:dyDescent="0.4">
      <c r="A30" s="64"/>
      <c r="B30" s="72" t="s">
        <v>198</v>
      </c>
      <c r="C30" s="71"/>
      <c r="D30" s="71" t="s">
        <v>186</v>
      </c>
      <c r="E30" s="72" t="s">
        <v>187</v>
      </c>
      <c r="F30" s="45">
        <v>0</v>
      </c>
      <c r="G30" s="83">
        <v>944</v>
      </c>
      <c r="H30" s="45">
        <v>0</v>
      </c>
      <c r="I30" s="45">
        <v>0</v>
      </c>
      <c r="J30" s="97">
        <f t="shared" si="1"/>
        <v>944</v>
      </c>
      <c r="K30" s="45" t="s">
        <v>199</v>
      </c>
    </row>
    <row r="31" spans="1:11" ht="13.9" x14ac:dyDescent="0.4">
      <c r="A31" s="41"/>
      <c r="B31" s="8" t="s">
        <v>107</v>
      </c>
      <c r="C31" s="20" t="s">
        <v>184</v>
      </c>
      <c r="D31" s="20" t="s">
        <v>165</v>
      </c>
      <c r="E31" s="8" t="s">
        <v>56</v>
      </c>
      <c r="F31" s="68" t="s">
        <v>3</v>
      </c>
      <c r="G31" s="83">
        <v>25600</v>
      </c>
      <c r="H31" s="68" t="s">
        <v>3</v>
      </c>
      <c r="I31" s="68" t="s">
        <v>3</v>
      </c>
      <c r="J31" s="46">
        <f>SUM(F31:I31)</f>
        <v>25600</v>
      </c>
      <c r="K31" s="45" t="s">
        <v>274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04"/>
      <c r="G32" s="104"/>
      <c r="H32" s="104"/>
      <c r="I32" s="104"/>
      <c r="J32" s="34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43583.017</v>
      </c>
      <c r="G34" s="22">
        <v>87166.032999999996</v>
      </c>
      <c r="H34" s="22">
        <v>41019.31</v>
      </c>
      <c r="I34" s="22">
        <v>0</v>
      </c>
      <c r="J34" s="24">
        <f>SUM(F34:I34)</f>
        <v>171768.36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230276.038</v>
      </c>
      <c r="G35" s="22">
        <v>828850.95400000003</v>
      </c>
      <c r="H35" s="22">
        <v>337683.46799999999</v>
      </c>
      <c r="I35" s="22">
        <v>19213.732</v>
      </c>
      <c r="J35" s="24">
        <f>SUM(F35:I35)</f>
        <v>1416024.192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04"/>
      <c r="G36" s="104"/>
      <c r="H36" s="104"/>
      <c r="I36" s="104"/>
      <c r="J36" s="104"/>
      <c r="K36" s="104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28965.91</v>
      </c>
      <c r="G37" s="45">
        <v>158052.82699999999</v>
      </c>
      <c r="H37" s="45">
        <v>0</v>
      </c>
      <c r="I37" s="45">
        <v>0</v>
      </c>
      <c r="J37" s="46">
        <f t="shared" ref="J37:J54" si="3">SUM(F37:I37)</f>
        <v>187018.73699999999</v>
      </c>
      <c r="K37" s="56" t="s">
        <v>263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194</v>
      </c>
      <c r="G38" s="45">
        <v>14447</v>
      </c>
      <c r="H38" s="45">
        <v>0</v>
      </c>
      <c r="I38" s="45">
        <v>0</v>
      </c>
      <c r="J38" s="46">
        <f t="shared" si="3"/>
        <v>14641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72267.7</v>
      </c>
      <c r="G39" s="45">
        <v>858557.39500000002</v>
      </c>
      <c r="H39" s="45">
        <v>43536.247000000003</v>
      </c>
      <c r="I39" s="45">
        <v>77486.629000000001</v>
      </c>
      <c r="J39" s="46">
        <f t="shared" si="3"/>
        <v>1051847.9709999999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23825.616000000002</v>
      </c>
      <c r="G40" s="45">
        <v>128309.842</v>
      </c>
      <c r="H40" s="45">
        <v>0</v>
      </c>
      <c r="I40" s="45">
        <v>0</v>
      </c>
      <c r="J40" s="46">
        <f t="shared" si="3"/>
        <v>152135.45800000001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8189.8019999999997</v>
      </c>
      <c r="G41" s="45">
        <v>97856.994999999995</v>
      </c>
      <c r="H41" s="45">
        <v>0</v>
      </c>
      <c r="I41" s="45">
        <v>8100</v>
      </c>
      <c r="J41" s="46">
        <f t="shared" si="3"/>
        <v>114146.79699999999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1323.384</v>
      </c>
      <c r="G42" s="45">
        <v>14076.455</v>
      </c>
      <c r="H42" s="45">
        <v>0</v>
      </c>
      <c r="I42" s="45">
        <v>0</v>
      </c>
      <c r="J42" s="46">
        <f t="shared" si="3"/>
        <v>15399.839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3055.8989999999999</v>
      </c>
      <c r="G43" s="45">
        <v>14178.767</v>
      </c>
      <c r="H43" s="45">
        <v>0</v>
      </c>
      <c r="I43" s="45">
        <v>0</v>
      </c>
      <c r="J43" s="46">
        <f t="shared" si="3"/>
        <v>17234.666000000001</v>
      </c>
      <c r="K43" s="56" t="s">
        <v>263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33000.495999999999</v>
      </c>
      <c r="G44" s="83">
        <v>53335.22</v>
      </c>
      <c r="H44" s="83">
        <v>0</v>
      </c>
      <c r="I44" s="83">
        <v>1437.1559999999999</v>
      </c>
      <c r="J44" s="46">
        <f t="shared" si="3"/>
        <v>87772.872000000003</v>
      </c>
      <c r="K44" s="56" t="s">
        <v>167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1300</v>
      </c>
      <c r="G45" s="83">
        <v>11825.984</v>
      </c>
      <c r="H45" s="83">
        <v>0</v>
      </c>
      <c r="I45" s="83">
        <v>0</v>
      </c>
      <c r="J45" s="46">
        <f>SUM(F45:I45)</f>
        <v>13125.984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704.94899999999996</v>
      </c>
      <c r="G46" s="83">
        <v>23787.114000000001</v>
      </c>
      <c r="H46" s="83">
        <v>0</v>
      </c>
      <c r="I46" s="83">
        <v>0</v>
      </c>
      <c r="J46" s="46">
        <f t="shared" si="3"/>
        <v>24492.063000000002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1079.3330000000001</v>
      </c>
      <c r="G47" s="83">
        <v>7917.5739999999996</v>
      </c>
      <c r="H47" s="83">
        <v>0</v>
      </c>
      <c r="I47" s="83">
        <v>0</v>
      </c>
      <c r="J47" s="46">
        <f t="shared" si="3"/>
        <v>8996.9069999999992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171011.41200000001</v>
      </c>
      <c r="G48" s="83">
        <v>425945.73300000001</v>
      </c>
      <c r="H48" s="83">
        <v>0</v>
      </c>
      <c r="I48" s="83">
        <v>273000</v>
      </c>
      <c r="J48" s="46">
        <f t="shared" si="3"/>
        <v>869957.14500000002</v>
      </c>
      <c r="K48" s="56" t="s">
        <v>167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3815.7939999999999</v>
      </c>
      <c r="H49" s="83">
        <v>0</v>
      </c>
      <c r="I49" s="83">
        <v>0</v>
      </c>
      <c r="J49" s="46">
        <f t="shared" si="3"/>
        <v>3815.7939999999999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21717.234</v>
      </c>
      <c r="G50" s="83">
        <v>37505.531999999999</v>
      </c>
      <c r="H50" s="83">
        <v>0</v>
      </c>
      <c r="I50" s="83">
        <v>0</v>
      </c>
      <c r="J50" s="46">
        <f t="shared" si="3"/>
        <v>59222.766000000003</v>
      </c>
      <c r="K50" s="56" t="s">
        <v>263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1800</v>
      </c>
      <c r="G51" s="83">
        <v>14140.14538</v>
      </c>
      <c r="H51" s="83">
        <v>0</v>
      </c>
      <c r="I51" s="83">
        <v>0</v>
      </c>
      <c r="J51" s="46">
        <f t="shared" si="3"/>
        <v>15940.14538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23051.995999999999</v>
      </c>
      <c r="G52" s="83">
        <v>53976.002</v>
      </c>
      <c r="H52" s="83">
        <v>0</v>
      </c>
      <c r="I52" s="83">
        <v>4500</v>
      </c>
      <c r="J52" s="46">
        <f t="shared" si="3"/>
        <v>81527.997999999992</v>
      </c>
      <c r="K52" s="56" t="s">
        <v>265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33175.03</v>
      </c>
      <c r="H53" s="83">
        <v>0</v>
      </c>
      <c r="I53" s="83">
        <v>0</v>
      </c>
      <c r="J53" s="46">
        <f t="shared" si="3"/>
        <v>43675.03</v>
      </c>
      <c r="K53" s="56" t="s">
        <v>266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72" t="s">
        <v>152</v>
      </c>
      <c r="F54" s="133">
        <v>3000</v>
      </c>
      <c r="G54" s="133">
        <v>31400</v>
      </c>
      <c r="H54" s="133">
        <v>0</v>
      </c>
      <c r="I54" s="133">
        <v>80000</v>
      </c>
      <c r="J54" s="134">
        <f t="shared" si="3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04"/>
      <c r="G55" s="104"/>
      <c r="H55" s="104"/>
      <c r="I55" s="104"/>
      <c r="J55" s="34"/>
      <c r="K55" s="104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65000</v>
      </c>
      <c r="G56" s="22">
        <v>210000</v>
      </c>
      <c r="H56" s="22">
        <v>45000</v>
      </c>
      <c r="I56" s="22">
        <v>0</v>
      </c>
      <c r="J56" s="24">
        <f t="shared" ref="J56:J65" si="4">SUM(F56:I56)</f>
        <v>320000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737277.76</v>
      </c>
      <c r="G57" s="22">
        <v>1539842.3319999999</v>
      </c>
      <c r="H57" s="22"/>
      <c r="I57" s="22"/>
      <c r="J57" s="24">
        <f>SUM(F57:I57)</f>
        <v>2277120.0920000002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22088.474999999999</v>
      </c>
      <c r="G58" s="22">
        <v>107040.586</v>
      </c>
      <c r="H58" s="22">
        <v>0</v>
      </c>
      <c r="I58" s="22">
        <v>0</v>
      </c>
      <c r="J58" s="24">
        <f t="shared" si="4"/>
        <v>129129.06099999999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39451.410000000003</v>
      </c>
      <c r="G59" s="22">
        <v>101509.74400000001</v>
      </c>
      <c r="H59" s="22">
        <v>14657.050999999999</v>
      </c>
      <c r="I59" s="22">
        <v>0</v>
      </c>
      <c r="J59" s="24">
        <f t="shared" si="4"/>
        <v>155618.20500000002</v>
      </c>
      <c r="K59" s="142" t="s">
        <v>260</v>
      </c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45056.425999999999</v>
      </c>
      <c r="G60" s="22">
        <v>345236.777</v>
      </c>
      <c r="H60" s="22">
        <v>4306.5810000000001</v>
      </c>
      <c r="I60" s="22">
        <v>55988.622000000003</v>
      </c>
      <c r="J60" s="24">
        <f t="shared" si="4"/>
        <v>450588.40599999996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55607</v>
      </c>
      <c r="G61" s="45">
        <v>128248</v>
      </c>
      <c r="H61" s="45">
        <v>0</v>
      </c>
      <c r="I61" s="45">
        <v>0</v>
      </c>
      <c r="J61" s="46">
        <f>SUM(F61:I61)</f>
        <v>183855</v>
      </c>
      <c r="K61" s="45" t="s">
        <v>299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10329.120999999999</v>
      </c>
      <c r="G62" s="22">
        <v>53730.04</v>
      </c>
      <c r="H62" s="22">
        <v>0</v>
      </c>
      <c r="I62" s="22">
        <v>0</v>
      </c>
      <c r="J62" s="24">
        <f t="shared" si="4"/>
        <v>64059.161</v>
      </c>
      <c r="K62" s="22" t="s">
        <v>288</v>
      </c>
    </row>
    <row r="63" spans="1:11" ht="13.9" x14ac:dyDescent="0.4">
      <c r="A63" s="39" t="s">
        <v>256</v>
      </c>
      <c r="B63" s="2" t="s">
        <v>20</v>
      </c>
      <c r="C63" s="13" t="s">
        <v>184</v>
      </c>
      <c r="D63" s="13"/>
      <c r="E63" s="2" t="s">
        <v>64</v>
      </c>
      <c r="F63" s="19">
        <v>507360</v>
      </c>
      <c r="G63" s="19">
        <v>1451036</v>
      </c>
      <c r="H63" s="19">
        <v>46929</v>
      </c>
      <c r="I63" s="19">
        <v>106837</v>
      </c>
      <c r="J63" s="24">
        <f t="shared" si="4"/>
        <v>2112162</v>
      </c>
      <c r="K63" s="102"/>
    </row>
    <row r="64" spans="1:11" ht="14.25" x14ac:dyDescent="0.45">
      <c r="A64" s="39" t="s">
        <v>257</v>
      </c>
      <c r="B64" s="2" t="s">
        <v>117</v>
      </c>
      <c r="C64" s="13" t="s">
        <v>184</v>
      </c>
      <c r="D64" s="13"/>
      <c r="E64" s="2" t="s">
        <v>181</v>
      </c>
      <c r="F64" s="19">
        <v>5099.6459999999997</v>
      </c>
      <c r="G64" s="19">
        <v>21595.067999999999</v>
      </c>
      <c r="H64" s="19">
        <v>2183.1179999999999</v>
      </c>
      <c r="I64" s="9" t="s">
        <v>3</v>
      </c>
      <c r="J64" s="24">
        <f t="shared" si="4"/>
        <v>28877.831999999999</v>
      </c>
      <c r="K64" s="102"/>
    </row>
    <row r="65" spans="1:11" ht="13.9" x14ac:dyDescent="0.4">
      <c r="A65" s="39" t="s">
        <v>258</v>
      </c>
      <c r="B65" s="2" t="s">
        <v>118</v>
      </c>
      <c r="C65" s="13" t="s">
        <v>184</v>
      </c>
      <c r="D65" s="13"/>
      <c r="E65" s="2" t="s">
        <v>205</v>
      </c>
      <c r="F65" s="120">
        <f>'16'!F65</f>
        <v>700</v>
      </c>
      <c r="G65" s="120">
        <f>'16'!G65</f>
        <v>19095</v>
      </c>
      <c r="H65" s="120">
        <f>'16'!H65</f>
        <v>400</v>
      </c>
      <c r="I65" s="120">
        <f>'16'!I65</f>
        <v>0</v>
      </c>
      <c r="J65" s="121">
        <f t="shared" si="4"/>
        <v>20195</v>
      </c>
      <c r="K65" s="120" t="s">
        <v>251</v>
      </c>
    </row>
    <row r="66" spans="1:11" ht="13.9" x14ac:dyDescent="0.4">
      <c r="A66" s="39">
        <v>7</v>
      </c>
      <c r="B66" s="23" t="s">
        <v>119</v>
      </c>
      <c r="C66" s="69" t="s">
        <v>184</v>
      </c>
      <c r="D66" s="69"/>
      <c r="E66" s="23" t="s">
        <v>206</v>
      </c>
      <c r="F66" s="22">
        <v>195521.88399999999</v>
      </c>
      <c r="G66" s="22">
        <v>218241.17499999999</v>
      </c>
      <c r="H66" s="22">
        <v>6969.1049999999996</v>
      </c>
      <c r="I66" s="19">
        <v>63822.078000000001</v>
      </c>
      <c r="J66" s="24">
        <f>SUM(F66:I66)</f>
        <v>484554.24199999997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44159.4</v>
      </c>
      <c r="G67" s="22">
        <v>117717.274</v>
      </c>
      <c r="H67" s="22">
        <v>0</v>
      </c>
      <c r="I67" s="22">
        <v>105412.489</v>
      </c>
      <c r="J67" s="24">
        <f t="shared" ref="J67" si="5">SUM(F67:I67)</f>
        <v>267289.163</v>
      </c>
      <c r="K67" s="24"/>
    </row>
    <row r="68" spans="1:11" ht="13.9" x14ac:dyDescent="0.4">
      <c r="A68" s="39"/>
      <c r="B68" s="2" t="s">
        <v>291</v>
      </c>
      <c r="C68" s="13"/>
      <c r="D68" s="13"/>
      <c r="E68" s="2"/>
      <c r="F68" s="22"/>
      <c r="G68" s="22"/>
      <c r="H68" s="22"/>
      <c r="I68" s="22"/>
      <c r="J68" s="24"/>
      <c r="K68" s="24"/>
    </row>
    <row r="69" spans="1:11" ht="13.9" x14ac:dyDescent="0.4">
      <c r="A69" s="39" t="s">
        <v>259</v>
      </c>
      <c r="B69" s="2" t="s">
        <v>120</v>
      </c>
      <c r="C69" s="13" t="s">
        <v>184</v>
      </c>
      <c r="D69" s="13"/>
      <c r="E69" s="2" t="s">
        <v>66</v>
      </c>
      <c r="F69" s="22">
        <v>17815.641</v>
      </c>
      <c r="G69" s="22">
        <v>48879.275999999998</v>
      </c>
      <c r="H69" s="22">
        <v>3896.0610000000001</v>
      </c>
      <c r="I69" s="22">
        <v>0</v>
      </c>
      <c r="J69" s="24">
        <f>SUM(F69:I69)</f>
        <v>70590.978000000003</v>
      </c>
      <c r="K69" s="33"/>
    </row>
    <row r="70" spans="1:11" ht="13.9" x14ac:dyDescent="0.4">
      <c r="A70" s="39"/>
      <c r="B70" s="56" t="s">
        <v>161</v>
      </c>
      <c r="C70" s="53"/>
      <c r="D70" s="53"/>
      <c r="E70" s="56" t="s">
        <v>160</v>
      </c>
      <c r="F70" s="45">
        <v>33070.731</v>
      </c>
      <c r="G70" s="45">
        <v>55863.493000000002</v>
      </c>
      <c r="H70" s="45">
        <v>0</v>
      </c>
      <c r="I70" s="45">
        <v>0</v>
      </c>
      <c r="J70" s="46">
        <f t="shared" ref="J70" si="6">SUM(F70:I70)</f>
        <v>88934.224000000002</v>
      </c>
      <c r="K70" s="45"/>
    </row>
    <row r="71" spans="1:11" ht="13.9" x14ac:dyDescent="0.4">
      <c r="A71" s="39"/>
      <c r="B71" s="2" t="s">
        <v>121</v>
      </c>
      <c r="C71" s="13" t="s">
        <v>184</v>
      </c>
      <c r="D71" s="13"/>
      <c r="E71" s="2" t="s">
        <v>67</v>
      </c>
      <c r="F71" s="22">
        <v>654000</v>
      </c>
      <c r="G71" s="22">
        <v>230760</v>
      </c>
      <c r="H71" s="22" t="s">
        <v>16</v>
      </c>
      <c r="I71" s="9" t="s">
        <v>3</v>
      </c>
      <c r="J71" s="24">
        <f>SUM(F71:I71)</f>
        <v>884760</v>
      </c>
      <c r="K71" s="22" t="s">
        <v>290</v>
      </c>
    </row>
    <row r="72" spans="1:11" ht="13.9" x14ac:dyDescent="0.4">
      <c r="A72" s="39"/>
      <c r="B72" s="72" t="s">
        <v>162</v>
      </c>
      <c r="C72" s="71"/>
      <c r="D72" s="71"/>
      <c r="E72" s="72" t="s">
        <v>182</v>
      </c>
      <c r="F72" s="45">
        <f>163999.317*8%</f>
        <v>13119.945360000002</v>
      </c>
      <c r="G72" s="45">
        <f>163999.317*0.92</f>
        <v>150879.37164000003</v>
      </c>
      <c r="H72" s="45">
        <v>0</v>
      </c>
      <c r="I72" s="45">
        <v>0</v>
      </c>
      <c r="J72" s="46">
        <f>SUM(F72:I72)</f>
        <v>163999.31700000004</v>
      </c>
      <c r="K72" s="45" t="s">
        <v>261</v>
      </c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100887.774</v>
      </c>
      <c r="G73" s="83">
        <v>102956.89599999999</v>
      </c>
      <c r="H73" s="83">
        <f>'16'!H73</f>
        <v>0</v>
      </c>
      <c r="I73" s="83">
        <f>'16'!I73</f>
        <v>0</v>
      </c>
      <c r="J73" s="46">
        <f>SUM(F73:I73)</f>
        <v>203844.66999999998</v>
      </c>
      <c r="K73" s="45"/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04"/>
      <c r="G74" s="104"/>
      <c r="H74" s="104"/>
      <c r="I74" s="104"/>
      <c r="J74" s="104"/>
      <c r="K74" s="104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525.71500000000003</v>
      </c>
      <c r="G75" s="19">
        <v>337.20100000000002</v>
      </c>
      <c r="H75" s="19">
        <v>130.56700000000001</v>
      </c>
      <c r="I75" s="19">
        <v>0</v>
      </c>
      <c r="J75" s="24">
        <f>SUM(F75:I75)</f>
        <v>993.48300000000006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151995</v>
      </c>
      <c r="H76" s="19">
        <v>0</v>
      </c>
      <c r="I76" s="19">
        <v>0</v>
      </c>
      <c r="J76" s="24">
        <f>SUM(F76:I76)</f>
        <v>151995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45" t="s">
        <v>3</v>
      </c>
      <c r="G77" s="145" t="s">
        <v>3</v>
      </c>
      <c r="H77" s="145" t="s">
        <v>3</v>
      </c>
      <c r="I77" s="145" t="s">
        <v>3</v>
      </c>
      <c r="J77" s="121">
        <f>'15'!J77*(1-0.05)</f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66207.93376</v>
      </c>
      <c r="G78" s="22">
        <v>288520.9988</v>
      </c>
      <c r="H78" s="22">
        <v>0</v>
      </c>
      <c r="I78" s="22">
        <v>0</v>
      </c>
      <c r="J78" s="24">
        <f>SUM(F78:I78)</f>
        <v>354728.93255999999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143">
        <v>4404.835</v>
      </c>
      <c r="G79" s="143">
        <v>11177.579</v>
      </c>
      <c r="H79" s="143">
        <v>776.52700000000004</v>
      </c>
      <c r="I79" s="143">
        <v>0</v>
      </c>
      <c r="J79" s="144">
        <f>SUM(F79:I79)</f>
        <v>16358.941000000001</v>
      </c>
      <c r="K79" s="34"/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19026.740000000002</v>
      </c>
      <c r="G80" s="19">
        <v>4902.1319999999996</v>
      </c>
      <c r="H80" s="19">
        <v>7884.7659999999996</v>
      </c>
      <c r="I80" s="19">
        <v>711.78700000000003</v>
      </c>
      <c r="J80" s="24">
        <f>SUM(F80:I80)</f>
        <v>32525.425000000003</v>
      </c>
      <c r="K80" s="102"/>
    </row>
    <row r="81" spans="1:11" ht="13.9" x14ac:dyDescent="0.4">
      <c r="A81" s="40"/>
      <c r="B81" s="2" t="s">
        <v>125</v>
      </c>
      <c r="C81" s="13" t="s">
        <v>184</v>
      </c>
      <c r="D81" s="13"/>
      <c r="E81" s="2" t="s">
        <v>73</v>
      </c>
      <c r="F81" s="22">
        <v>2804.7379999999998</v>
      </c>
      <c r="G81" s="22">
        <v>10776.099</v>
      </c>
      <c r="H81" s="22">
        <v>1180.942</v>
      </c>
      <c r="I81" s="22">
        <v>0</v>
      </c>
      <c r="J81" s="24">
        <f>SUM(F81:I81)</f>
        <v>14761.778999999999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120">
        <f>'16'!F82</f>
        <v>500</v>
      </c>
      <c r="G82" s="120">
        <f>'16'!G82</f>
        <v>25650</v>
      </c>
      <c r="H82" s="120">
        <v>800</v>
      </c>
      <c r="I82" s="120">
        <v>0</v>
      </c>
      <c r="J82" s="121">
        <f>SUM(F82:I82)</f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ref="J83:J87" si="7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55314.540999999997</v>
      </c>
      <c r="H84" s="19">
        <v>0</v>
      </c>
      <c r="I84" s="19">
        <v>0</v>
      </c>
      <c r="J84" s="24">
        <f t="shared" si="7"/>
        <v>55314.540999999997</v>
      </c>
      <c r="K84" s="8" t="s">
        <v>269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279796.69</v>
      </c>
      <c r="G85" s="22">
        <v>772828.92</v>
      </c>
      <c r="H85" s="22">
        <v>0</v>
      </c>
      <c r="I85" s="22">
        <v>0</v>
      </c>
      <c r="J85" s="24">
        <f t="shared" si="7"/>
        <v>1052625.6100000001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101816</v>
      </c>
      <c r="G86" s="22">
        <v>1203898</v>
      </c>
      <c r="H86" s="22">
        <v>0</v>
      </c>
      <c r="I86" s="22">
        <v>0</v>
      </c>
      <c r="J86" s="24">
        <f t="shared" si="7"/>
        <v>1305714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12025.8994</v>
      </c>
      <c r="G87" s="22">
        <v>25762.415519999999</v>
      </c>
      <c r="H87" s="22">
        <v>6352.4721399999999</v>
      </c>
      <c r="I87" s="22">
        <v>0</v>
      </c>
      <c r="J87" s="24">
        <f t="shared" si="7"/>
        <v>44140.787059999995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50" t="s">
        <v>3</v>
      </c>
      <c r="G88" s="150" t="s">
        <v>3</v>
      </c>
      <c r="H88" s="150" t="s">
        <v>3</v>
      </c>
      <c r="I88" s="150" t="s">
        <v>3</v>
      </c>
      <c r="J88" s="151">
        <f>'16'!J88</f>
        <v>10925</v>
      </c>
      <c r="K88" s="152" t="s">
        <v>281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152">
        <f>'16'!F89</f>
        <v>9100</v>
      </c>
      <c r="G89" s="152">
        <f>'16'!G89</f>
        <v>19000</v>
      </c>
      <c r="H89" s="152">
        <v>0</v>
      </c>
      <c r="I89" s="152">
        <v>0</v>
      </c>
      <c r="J89" s="151">
        <f>'16'!J89</f>
        <v>28100</v>
      </c>
      <c r="K89" s="152" t="s">
        <v>281</v>
      </c>
    </row>
    <row r="90" spans="1:11" ht="13.9" x14ac:dyDescent="0.4">
      <c r="A90" s="40"/>
      <c r="B90" s="2" t="s">
        <v>19</v>
      </c>
      <c r="C90" s="13" t="s">
        <v>184</v>
      </c>
      <c r="D90" s="13"/>
      <c r="E90" s="2" t="s">
        <v>82</v>
      </c>
      <c r="F90" s="22">
        <v>313790.45899999997</v>
      </c>
      <c r="G90" s="22">
        <v>410433.728</v>
      </c>
      <c r="H90" s="22">
        <v>36918.527000000002</v>
      </c>
      <c r="I90" s="22">
        <v>90051.229000000007</v>
      </c>
      <c r="J90" s="24">
        <f t="shared" ref="J90:J100" si="8">SUM(F90:I90)</f>
        <v>851193.94299999997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142000</v>
      </c>
      <c r="G91" s="22">
        <v>282000</v>
      </c>
      <c r="H91" s="22">
        <v>0</v>
      </c>
      <c r="I91" s="19">
        <v>0</v>
      </c>
      <c r="J91" s="24">
        <f t="shared" si="8"/>
        <v>424000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571400</v>
      </c>
      <c r="G92" s="22">
        <v>35500</v>
      </c>
      <c r="H92" s="22">
        <v>0</v>
      </c>
      <c r="I92" s="19">
        <v>99100</v>
      </c>
      <c r="J92" s="24">
        <f t="shared" si="8"/>
        <v>706000</v>
      </c>
      <c r="K92" s="101" t="s">
        <v>239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12675.710999999999</v>
      </c>
      <c r="G93" s="22">
        <v>96966.762300000002</v>
      </c>
      <c r="H93" s="22">
        <v>2923.44</v>
      </c>
      <c r="I93" s="22">
        <v>1408.278</v>
      </c>
      <c r="J93" s="24">
        <f>SUM(F93:I93)</f>
        <v>113974.19130000001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22">
        <v>17055</v>
      </c>
      <c r="G94" s="22">
        <v>30688</v>
      </c>
      <c r="H94" s="19">
        <v>1392</v>
      </c>
      <c r="I94" s="22">
        <v>0</v>
      </c>
      <c r="J94" s="24">
        <f t="shared" si="8"/>
        <v>49135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33">
        <v>0</v>
      </c>
      <c r="G95" s="33">
        <v>0</v>
      </c>
      <c r="H95" s="33">
        <v>0</v>
      </c>
      <c r="I95" s="33">
        <v>0</v>
      </c>
      <c r="J95" s="34">
        <f t="shared" si="8"/>
        <v>0</v>
      </c>
      <c r="K95" s="45"/>
    </row>
    <row r="96" spans="1:11" ht="13.9" x14ac:dyDescent="0.4">
      <c r="A96" s="40"/>
      <c r="B96" s="23" t="s">
        <v>24</v>
      </c>
      <c r="C96" s="69" t="s">
        <v>184</v>
      </c>
      <c r="D96" s="69"/>
      <c r="E96" s="23" t="s">
        <v>178</v>
      </c>
      <c r="F96" s="22">
        <v>72950</v>
      </c>
      <c r="G96" s="22">
        <v>321420</v>
      </c>
      <c r="H96" s="22">
        <v>41070</v>
      </c>
      <c r="I96" s="22" t="str">
        <f>'16'!I96</f>
        <v>not available</v>
      </c>
      <c r="J96" s="24">
        <f t="shared" si="8"/>
        <v>435440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1278.40616</v>
      </c>
      <c r="G97" s="22">
        <v>15215.171490000001</v>
      </c>
      <c r="H97" s="22">
        <v>1432.83097</v>
      </c>
      <c r="I97" s="22">
        <v>0</v>
      </c>
      <c r="J97" s="24">
        <f t="shared" si="8"/>
        <v>17926.408619999998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110057.12562999999</v>
      </c>
      <c r="G98" s="22">
        <v>220650.53737999999</v>
      </c>
      <c r="H98" s="22">
        <v>13953.16336</v>
      </c>
      <c r="I98" s="22">
        <v>0</v>
      </c>
      <c r="J98" s="24">
        <f t="shared" si="8"/>
        <v>344660.82637000002</v>
      </c>
      <c r="K98" s="102"/>
    </row>
    <row r="99" spans="1:11" ht="13.9" x14ac:dyDescent="0.4">
      <c r="A99" s="40"/>
      <c r="B99" s="2" t="s">
        <v>137</v>
      </c>
      <c r="C99" s="13" t="s">
        <v>184</v>
      </c>
      <c r="D99" s="13"/>
      <c r="E99" s="2" t="s">
        <v>90</v>
      </c>
      <c r="F99" s="22">
        <v>50041.902999999998</v>
      </c>
      <c r="G99" s="22">
        <v>129284.56600000001</v>
      </c>
      <c r="H99" s="22">
        <v>0</v>
      </c>
      <c r="I99" s="19">
        <v>0</v>
      </c>
      <c r="J99" s="24">
        <f t="shared" si="8"/>
        <v>179326.46900000001</v>
      </c>
      <c r="K99" s="110"/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244000</v>
      </c>
      <c r="H100" s="19">
        <v>0</v>
      </c>
      <c r="I100" s="19">
        <v>0</v>
      </c>
      <c r="J100" s="24">
        <f t="shared" si="8"/>
        <v>245000</v>
      </c>
      <c r="K100" s="107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57731.082000000002</v>
      </c>
      <c r="G101" s="19">
        <v>172534.97</v>
      </c>
      <c r="H101" s="19">
        <v>6987.1030000000001</v>
      </c>
      <c r="I101" s="19">
        <v>0</v>
      </c>
      <c r="J101" s="24">
        <f>SUM(F101:I101)</f>
        <v>237253.155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152">
        <f>'16'!F102</f>
        <v>1500</v>
      </c>
      <c r="G102" s="152">
        <f>'16'!G102</f>
        <v>183350</v>
      </c>
      <c r="H102" s="152">
        <f>'16'!H102</f>
        <v>300</v>
      </c>
      <c r="I102" s="152">
        <f>'16'!I102</f>
        <v>0</v>
      </c>
      <c r="J102" s="151">
        <f>'16'!J102</f>
        <v>185150</v>
      </c>
      <c r="K102" s="152" t="s">
        <v>281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355242.58299999998</v>
      </c>
      <c r="G103" s="22">
        <v>527388.75399999996</v>
      </c>
      <c r="H103" s="22">
        <v>246528.52799999999</v>
      </c>
      <c r="I103" s="22">
        <v>817359.67599999998</v>
      </c>
      <c r="J103" s="24">
        <f>SUM(F103:I103)</f>
        <v>1946519.541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1138137.064</v>
      </c>
      <c r="G104" s="22">
        <v>1420571.0549999999</v>
      </c>
      <c r="H104" s="22">
        <v>1036338.575</v>
      </c>
      <c r="I104" s="22">
        <v>1544412.2830000001</v>
      </c>
      <c r="J104" s="24">
        <f>SUM(F104:I104)</f>
        <v>5139458.977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04"/>
      <c r="G105" s="104"/>
      <c r="H105" s="104"/>
      <c r="I105" s="104"/>
      <c r="J105" s="104"/>
      <c r="K105" s="104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17000</v>
      </c>
      <c r="H106" s="68" t="s">
        <v>3</v>
      </c>
      <c r="I106" s="68" t="s">
        <v>3</v>
      </c>
      <c r="J106" s="46">
        <f t="shared" ref="J106:J112" si="9">SUM(F106:I106)</f>
        <v>17000</v>
      </c>
      <c r="K106" s="45" t="s">
        <v>274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149">
        <v>3000</v>
      </c>
      <c r="G107" s="149">
        <f>11000+12000</f>
        <v>23000</v>
      </c>
      <c r="H107" s="145" t="s">
        <v>3</v>
      </c>
      <c r="I107" s="145" t="s">
        <v>3</v>
      </c>
      <c r="J107" s="121">
        <f t="shared" si="9"/>
        <v>26000</v>
      </c>
      <c r="K107" s="120" t="s">
        <v>251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26900</v>
      </c>
      <c r="H108" s="68" t="s">
        <v>3</v>
      </c>
      <c r="I108" s="68" t="s">
        <v>3</v>
      </c>
      <c r="J108" s="46">
        <f t="shared" si="9"/>
        <v>26900</v>
      </c>
      <c r="K108" s="45" t="s">
        <v>274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145" t="s">
        <v>3</v>
      </c>
      <c r="G109" s="149">
        <v>46500</v>
      </c>
      <c r="H109" s="145" t="s">
        <v>3</v>
      </c>
      <c r="I109" s="145" t="s">
        <v>3</v>
      </c>
      <c r="J109" s="121">
        <f t="shared" si="9"/>
        <v>46500</v>
      </c>
      <c r="K109" s="120" t="s">
        <v>251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19">
        <v>0</v>
      </c>
      <c r="G110" s="19">
        <v>37000</v>
      </c>
      <c r="H110" s="19">
        <v>0</v>
      </c>
      <c r="I110" s="19">
        <v>0</v>
      </c>
      <c r="J110" s="24">
        <f t="shared" si="9"/>
        <v>37000</v>
      </c>
      <c r="K110" s="22"/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49">
        <v>2900</v>
      </c>
      <c r="G111" s="149">
        <v>13000</v>
      </c>
      <c r="H111" s="145" t="s">
        <v>3</v>
      </c>
      <c r="I111" s="145" t="s">
        <v>3</v>
      </c>
      <c r="J111" s="121">
        <f t="shared" si="9"/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83">
        <v>31400</v>
      </c>
      <c r="H112" s="68" t="s">
        <v>3</v>
      </c>
      <c r="I112" s="68" t="s">
        <v>3</v>
      </c>
      <c r="J112" s="46">
        <f t="shared" si="9"/>
        <v>31400</v>
      </c>
      <c r="K112" s="45" t="s">
        <v>274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1800</v>
      </c>
      <c r="H113" s="68" t="s">
        <v>3</v>
      </c>
      <c r="I113" s="68" t="s">
        <v>3</v>
      </c>
      <c r="J113" s="46">
        <f>'16'!J113</f>
        <v>1500</v>
      </c>
      <c r="K113" s="45" t="s">
        <v>274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45" t="s">
        <v>3</v>
      </c>
      <c r="G114" s="149">
        <v>300000</v>
      </c>
      <c r="H114" s="145" t="s">
        <v>3</v>
      </c>
      <c r="I114" s="145" t="s">
        <v>3</v>
      </c>
      <c r="J114" s="121">
        <f>SUM(F114:I114)</f>
        <v>300000</v>
      </c>
      <c r="K114" s="120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201800</v>
      </c>
      <c r="H115" s="68" t="s">
        <v>3</v>
      </c>
      <c r="I115" s="68" t="s">
        <v>3</v>
      </c>
      <c r="J115" s="46">
        <f>SUM(F115:I115)</f>
        <v>201800</v>
      </c>
      <c r="K115" s="45" t="s">
        <v>275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83">
        <v>19000</v>
      </c>
      <c r="G116" s="83">
        <v>21000</v>
      </c>
      <c r="H116" s="68" t="s">
        <v>3</v>
      </c>
      <c r="I116" s="68" t="s">
        <v>3</v>
      </c>
      <c r="J116" s="46">
        <f>SUM(F116:I116)</f>
        <v>40000</v>
      </c>
      <c r="K116" s="45" t="s">
        <v>275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9" t="s">
        <v>3</v>
      </c>
      <c r="G117" s="19">
        <v>298000</v>
      </c>
      <c r="H117" s="9" t="s">
        <v>3</v>
      </c>
      <c r="I117" s="9" t="s">
        <v>3</v>
      </c>
      <c r="J117" s="24">
        <f>SUM(F117:I117)</f>
        <v>298000</v>
      </c>
      <c r="K117" s="22" t="s">
        <v>274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145" t="s">
        <v>3</v>
      </c>
      <c r="G118" s="149">
        <v>7900</v>
      </c>
      <c r="H118" s="145" t="s">
        <v>3</v>
      </c>
      <c r="I118" s="145" t="s">
        <v>3</v>
      </c>
      <c r="J118" s="121">
        <f>'16'!J118</f>
        <v>7900</v>
      </c>
      <c r="K118" s="120" t="s">
        <v>251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6634544.6876400001</v>
      </c>
      <c r="G120" s="21">
        <f>SUM(G10:G119)</f>
        <v>15952849.242179999</v>
      </c>
      <c r="H120" s="21">
        <f>SUM(H10:H119)</f>
        <v>1956361.1156899999</v>
      </c>
      <c r="I120" s="21">
        <f>SUM(I10:I119)</f>
        <v>3453865.5401099999</v>
      </c>
      <c r="J120" s="67">
        <f>SUM(J10:J119)</f>
        <v>28022245.585620001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8590905.8033300005</v>
      </c>
      <c r="G121" s="8"/>
      <c r="H121" s="8"/>
      <c r="I121" s="35"/>
      <c r="J121" s="22">
        <f>SUM(F120:I120)</f>
        <v>27997620.585620001</v>
      </c>
      <c r="K121" s="1">
        <f>J120-J121</f>
        <v>24625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6637537.1876400001</v>
      </c>
      <c r="G123" s="86">
        <f>G120+G129</f>
        <v>15979781.742179999</v>
      </c>
      <c r="H123" s="86">
        <f>H120</f>
        <v>1956361.1156899999</v>
      </c>
      <c r="I123" s="86">
        <f>I120</f>
        <v>3453865.5401099999</v>
      </c>
      <c r="J123" s="86">
        <f>SUM(F123:I123)</f>
        <v>28027545.585620001</v>
      </c>
      <c r="K123" s="6">
        <f>J123-J120</f>
        <v>5300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8593898.3033300005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0.23682192104061725</v>
      </c>
      <c r="G125" s="29">
        <f>G123/$J123</f>
        <v>0.5701455981353819</v>
      </c>
      <c r="H125" s="29">
        <f>H123/$J123</f>
        <v>6.9801371287171982E-2</v>
      </c>
      <c r="I125" s="29">
        <f>I123/$J123</f>
        <v>0.12323110953682877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2992.5</v>
      </c>
      <c r="G129" s="7">
        <f>0.9*$J139</f>
        <v>26932.5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10">0.1*$J132</f>
        <v>0</v>
      </c>
      <c r="G132" s="7">
        <f t="shared" ref="G132:G137" si="11">0.9*$J132</f>
        <v>0</v>
      </c>
      <c r="H132" s="7">
        <v>0</v>
      </c>
      <c r="I132" s="7">
        <v>0</v>
      </c>
      <c r="J132" s="7">
        <v>0</v>
      </c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10"/>
        <v>0</v>
      </c>
      <c r="G133" s="7">
        <f t="shared" si="11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10"/>
        <v>0</v>
      </c>
      <c r="G134" s="7">
        <f t="shared" si="11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10"/>
        <v>0</v>
      </c>
      <c r="G135" s="7">
        <f t="shared" si="11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 t="shared" si="10"/>
        <v>2992.5</v>
      </c>
      <c r="G136" s="7">
        <f t="shared" si="11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10"/>
        <v>0</v>
      </c>
      <c r="G137" s="7">
        <f t="shared" si="11"/>
        <v>0</v>
      </c>
      <c r="H137" s="7">
        <v>0</v>
      </c>
      <c r="I137" s="7">
        <v>0</v>
      </c>
      <c r="J137" s="79">
        <v>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29925</v>
      </c>
      <c r="K139" s="3" t="s">
        <v>175</v>
      </c>
    </row>
  </sheetData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F842-B7EF-43BA-858A-871A7237BB86}">
  <dimension ref="A1:K139"/>
  <sheetViews>
    <sheetView topLeftCell="A61" zoomScale="60" zoomScaleNormal="60" workbookViewId="0">
      <pane xSplit="2" topLeftCell="C1" activePane="topRight" state="frozen"/>
      <selection activeCell="A25" sqref="A25"/>
      <selection pane="topRight" activeCell="I115" sqref="I115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255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6534508.8090999983</v>
      </c>
      <c r="G4" s="17">
        <f t="shared" ref="G4:I4" si="0">SUBTOTAL(9,G9:G118)</f>
        <v>16394351.064680001</v>
      </c>
      <c r="H4" s="17">
        <f t="shared" si="0"/>
        <v>1924737.5674199997</v>
      </c>
      <c r="I4" s="17">
        <f t="shared" si="0"/>
        <v>3371034.9233200001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6" t="s">
        <v>46</v>
      </c>
      <c r="C10" s="58"/>
      <c r="D10" s="76" t="s">
        <v>165</v>
      </c>
      <c r="E10" s="56" t="s">
        <v>169</v>
      </c>
      <c r="F10" s="68" t="s">
        <v>3</v>
      </c>
      <c r="G10" s="83">
        <v>50800</v>
      </c>
      <c r="H10" s="68" t="s">
        <v>3</v>
      </c>
      <c r="I10" s="68" t="s">
        <v>3</v>
      </c>
      <c r="J10" s="46">
        <f>SUM(F10:I10)</f>
        <v>50800</v>
      </c>
      <c r="K10" s="45" t="s">
        <v>275</v>
      </c>
    </row>
    <row r="11" spans="1:11" s="59" customFormat="1" ht="15" x14ac:dyDescent="0.4">
      <c r="A11" s="57"/>
      <c r="B11" s="56" t="s">
        <v>185</v>
      </c>
      <c r="C11" s="58"/>
      <c r="D11" s="76" t="s">
        <v>186</v>
      </c>
      <c r="E11" s="56" t="s">
        <v>187</v>
      </c>
      <c r="F11" s="83">
        <v>0</v>
      </c>
      <c r="G11" s="83">
        <v>1402</v>
      </c>
      <c r="H11" s="83">
        <v>0</v>
      </c>
      <c r="I11" s="83">
        <v>0</v>
      </c>
      <c r="J11" s="46">
        <f t="shared" ref="J11:J30" si="1">SUM(F11:I11)</f>
        <v>1402</v>
      </c>
      <c r="K11" s="45" t="s">
        <v>199</v>
      </c>
    </row>
    <row r="12" spans="1:11" s="59" customFormat="1" ht="15" x14ac:dyDescent="0.4">
      <c r="A12" s="57"/>
      <c r="B12" s="56" t="s">
        <v>188</v>
      </c>
      <c r="C12" s="58"/>
      <c r="D12" s="76" t="s">
        <v>186</v>
      </c>
      <c r="E12" s="56" t="s">
        <v>187</v>
      </c>
      <c r="F12" s="83">
        <v>0</v>
      </c>
      <c r="G12" s="83">
        <v>1085</v>
      </c>
      <c r="H12" s="83">
        <v>0</v>
      </c>
      <c r="I12" s="83">
        <v>0</v>
      </c>
      <c r="J12" s="46">
        <f t="shared" si="1"/>
        <v>1085</v>
      </c>
      <c r="K12" s="45" t="s">
        <v>199</v>
      </c>
    </row>
    <row r="13" spans="1:11" s="59" customFormat="1" ht="15" x14ac:dyDescent="0.4">
      <c r="A13" s="57"/>
      <c r="B13" s="56" t="s">
        <v>189</v>
      </c>
      <c r="C13" s="58"/>
      <c r="D13" s="76" t="s">
        <v>186</v>
      </c>
      <c r="E13" s="56" t="s">
        <v>187</v>
      </c>
      <c r="F13" s="83">
        <v>0</v>
      </c>
      <c r="G13" s="83">
        <v>2023</v>
      </c>
      <c r="H13" s="83">
        <v>0</v>
      </c>
      <c r="I13" s="83">
        <v>0</v>
      </c>
      <c r="J13" s="46">
        <f t="shared" si="1"/>
        <v>2023</v>
      </c>
      <c r="K13" s="45" t="s">
        <v>251</v>
      </c>
    </row>
    <row r="14" spans="1:11" s="59" customFormat="1" ht="15" x14ac:dyDescent="0.4">
      <c r="A14" s="57"/>
      <c r="B14" s="56" t="s">
        <v>190</v>
      </c>
      <c r="C14" s="58"/>
      <c r="D14" s="76" t="s">
        <v>186</v>
      </c>
      <c r="E14" s="56" t="s">
        <v>187</v>
      </c>
      <c r="F14" s="83">
        <v>0</v>
      </c>
      <c r="G14" s="83">
        <v>24899</v>
      </c>
      <c r="H14" s="83">
        <v>0</v>
      </c>
      <c r="I14" s="83">
        <v>0</v>
      </c>
      <c r="J14" s="46">
        <f t="shared" si="1"/>
        <v>24899</v>
      </c>
      <c r="K14" s="45" t="s">
        <v>199</v>
      </c>
    </row>
    <row r="15" spans="1:11" s="59" customFormat="1" ht="15" x14ac:dyDescent="0.4">
      <c r="A15" s="57"/>
      <c r="B15" s="56" t="s">
        <v>191</v>
      </c>
      <c r="C15" s="58"/>
      <c r="D15" s="76" t="s">
        <v>186</v>
      </c>
      <c r="E15" s="56" t="s">
        <v>187</v>
      </c>
      <c r="F15" s="83">
        <v>0</v>
      </c>
      <c r="G15" s="83">
        <v>503</v>
      </c>
      <c r="H15" s="83">
        <v>0</v>
      </c>
      <c r="I15" s="83">
        <v>0</v>
      </c>
      <c r="J15" s="46">
        <f t="shared" si="1"/>
        <v>503</v>
      </c>
      <c r="K15" s="45" t="s">
        <v>199</v>
      </c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1587</v>
      </c>
      <c r="H16" s="56">
        <v>0</v>
      </c>
      <c r="I16" s="56">
        <v>0</v>
      </c>
      <c r="J16" s="46">
        <f t="shared" si="1"/>
        <v>1587</v>
      </c>
      <c r="K16" s="45" t="s">
        <v>199</v>
      </c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15281</v>
      </c>
      <c r="H17" s="56">
        <v>0</v>
      </c>
      <c r="I17" s="56">
        <v>0</v>
      </c>
      <c r="J17" s="46">
        <f t="shared" si="1"/>
        <v>15281</v>
      </c>
      <c r="K17" s="45" t="s">
        <v>199</v>
      </c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15488.769</v>
      </c>
      <c r="G18" s="19">
        <v>42747.589</v>
      </c>
      <c r="H18" s="19">
        <v>0</v>
      </c>
      <c r="I18" s="19">
        <v>82406.769</v>
      </c>
      <c r="J18" s="24">
        <f t="shared" si="1"/>
        <v>140643.12700000001</v>
      </c>
      <c r="K18" s="115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9746</v>
      </c>
      <c r="H19" s="83">
        <v>0</v>
      </c>
      <c r="I19" s="83">
        <v>0</v>
      </c>
      <c r="J19" s="46">
        <f t="shared" si="1"/>
        <v>9746</v>
      </c>
      <c r="K19" s="45" t="s">
        <v>199</v>
      </c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1832</v>
      </c>
      <c r="H20" s="83">
        <v>0</v>
      </c>
      <c r="I20" s="83">
        <v>0</v>
      </c>
      <c r="J20" s="46">
        <f t="shared" si="1"/>
        <v>1832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120">
        <v>0</v>
      </c>
      <c r="G21" s="120">
        <v>90000</v>
      </c>
      <c r="H21" s="120">
        <v>0</v>
      </c>
      <c r="I21" s="120">
        <v>0</v>
      </c>
      <c r="J21" s="121">
        <f>'17'!J21</f>
        <v>85000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4056</v>
      </c>
      <c r="H22" s="45">
        <v>0</v>
      </c>
      <c r="I22" s="45">
        <v>0</v>
      </c>
      <c r="J22" s="46">
        <f t="shared" si="1"/>
        <v>4056</v>
      </c>
      <c r="K22" s="45" t="s">
        <v>199</v>
      </c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16640.07863</v>
      </c>
      <c r="G23" s="22">
        <f>34226.87772+8195.63418</f>
        <v>42422.511899999998</v>
      </c>
      <c r="H23" s="22">
        <f>128.80199</f>
        <v>128.80198999999999</v>
      </c>
      <c r="I23" s="22">
        <v>0</v>
      </c>
      <c r="J23" s="24">
        <f t="shared" si="1"/>
        <v>59191.392520000001</v>
      </c>
      <c r="K23" s="3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839</v>
      </c>
      <c r="H24" s="45">
        <v>0</v>
      </c>
      <c r="I24" s="45">
        <v>0</v>
      </c>
      <c r="J24" s="46">
        <f t="shared" si="1"/>
        <v>839</v>
      </c>
      <c r="K24" s="45" t="s">
        <v>199</v>
      </c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4351.8968599999998</v>
      </c>
      <c r="G25" s="22">
        <v>21759.48431</v>
      </c>
      <c r="H25" s="19">
        <v>2901.26458</v>
      </c>
      <c r="I25" s="19">
        <v>106367.95097999999</v>
      </c>
      <c r="J25" s="24">
        <f t="shared" si="1"/>
        <v>135380.59672999999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14487</v>
      </c>
      <c r="H26" s="83">
        <v>0</v>
      </c>
      <c r="I26" s="83">
        <v>0</v>
      </c>
      <c r="J26" s="46">
        <f t="shared" si="1"/>
        <v>14487</v>
      </c>
      <c r="K26" s="45" t="s">
        <v>199</v>
      </c>
    </row>
    <row r="27" spans="1:11" s="66" customFormat="1" ht="13.9" x14ac:dyDescent="0.4">
      <c r="A27" s="64"/>
      <c r="B27" s="23" t="s">
        <v>106</v>
      </c>
      <c r="C27" s="69" t="s">
        <v>184</v>
      </c>
      <c r="D27" s="69"/>
      <c r="E27" s="23" t="s">
        <v>55</v>
      </c>
      <c r="F27" s="22">
        <v>13250</v>
      </c>
      <c r="G27" s="19">
        <v>117250</v>
      </c>
      <c r="H27" s="19">
        <v>2000</v>
      </c>
      <c r="I27" s="19">
        <v>0</v>
      </c>
      <c r="J27" s="24">
        <f t="shared" ref="J27" si="2">SUM(F27:I27)</f>
        <v>132500</v>
      </c>
      <c r="K27" s="80"/>
    </row>
    <row r="28" spans="1:11" s="66" customFormat="1" ht="13.9" x14ac:dyDescent="0.4">
      <c r="A28" s="64"/>
      <c r="B28" s="72" t="s">
        <v>217</v>
      </c>
      <c r="C28" s="71"/>
      <c r="D28" s="71" t="s">
        <v>165</v>
      </c>
      <c r="E28" s="72" t="s">
        <v>169</v>
      </c>
      <c r="F28" s="153" t="s">
        <v>3</v>
      </c>
      <c r="G28" s="153">
        <v>12700</v>
      </c>
      <c r="H28" s="153" t="s">
        <v>3</v>
      </c>
      <c r="I28" s="153" t="s">
        <v>3</v>
      </c>
      <c r="J28" s="146">
        <f>SUM(F28:I28)</f>
        <v>12700</v>
      </c>
      <c r="K28" s="50" t="s">
        <v>281</v>
      </c>
    </row>
    <row r="29" spans="1:11" s="66" customFormat="1" ht="13.9" x14ac:dyDescent="0.4">
      <c r="A29" s="64"/>
      <c r="B29" s="72" t="s">
        <v>197</v>
      </c>
      <c r="C29" s="71"/>
      <c r="D29" s="71" t="s">
        <v>186</v>
      </c>
      <c r="E29" s="72" t="s">
        <v>187</v>
      </c>
      <c r="F29" s="45">
        <v>0</v>
      </c>
      <c r="G29" s="83">
        <v>99</v>
      </c>
      <c r="H29" s="45">
        <v>0</v>
      </c>
      <c r="I29" s="45">
        <v>0</v>
      </c>
      <c r="J29" s="147">
        <f t="shared" si="1"/>
        <v>99</v>
      </c>
      <c r="K29" s="45" t="s">
        <v>199</v>
      </c>
    </row>
    <row r="30" spans="1:11" s="66" customFormat="1" ht="13.9" x14ac:dyDescent="0.4">
      <c r="A30" s="64"/>
      <c r="B30" s="72" t="s">
        <v>198</v>
      </c>
      <c r="C30" s="71"/>
      <c r="D30" s="71" t="s">
        <v>186</v>
      </c>
      <c r="E30" s="72" t="s">
        <v>187</v>
      </c>
      <c r="F30" s="45">
        <v>0</v>
      </c>
      <c r="G30" s="83">
        <v>1077</v>
      </c>
      <c r="H30" s="45">
        <v>0</v>
      </c>
      <c r="I30" s="45">
        <v>0</v>
      </c>
      <c r="J30" s="147">
        <f t="shared" si="1"/>
        <v>1077</v>
      </c>
      <c r="K30" s="45" t="s">
        <v>199</v>
      </c>
    </row>
    <row r="31" spans="1:11" ht="13.9" x14ac:dyDescent="0.4">
      <c r="A31" s="41"/>
      <c r="B31" s="56" t="s">
        <v>107</v>
      </c>
      <c r="C31" s="76"/>
      <c r="D31" s="76" t="s">
        <v>165</v>
      </c>
      <c r="E31" s="56" t="s">
        <v>56</v>
      </c>
      <c r="F31" s="68" t="s">
        <v>3</v>
      </c>
      <c r="G31" s="83">
        <v>28200</v>
      </c>
      <c r="H31" s="68" t="s">
        <v>3</v>
      </c>
      <c r="I31" s="68" t="s">
        <v>3</v>
      </c>
      <c r="J31" s="46">
        <f>SUM(F31:I31)</f>
        <v>28200</v>
      </c>
      <c r="K31" s="45" t="s">
        <v>274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30"/>
      <c r="G32" s="30"/>
      <c r="H32" s="30"/>
      <c r="I32" s="30"/>
      <c r="J32" s="30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49032.510999999999</v>
      </c>
      <c r="G34" s="22">
        <v>98065.021999999997</v>
      </c>
      <c r="H34" s="22">
        <v>46148.245999999999</v>
      </c>
      <c r="I34" s="22">
        <v>0</v>
      </c>
      <c r="J34" s="24">
        <f>SUM(F34:I34)</f>
        <v>193245.77899999998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246298.41399999999</v>
      </c>
      <c r="G35" s="22">
        <v>970075.52500000002</v>
      </c>
      <c r="H35" s="22">
        <v>364309.67</v>
      </c>
      <c r="I35" s="22">
        <v>23035.345000000001</v>
      </c>
      <c r="J35" s="24">
        <f>SUM(F35:I35)</f>
        <v>1603718.9539999999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61"/>
      <c r="G36" s="61"/>
      <c r="H36" s="61"/>
      <c r="I36" s="61"/>
      <c r="J36" s="61"/>
      <c r="K36" s="61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26331.704000000002</v>
      </c>
      <c r="G37" s="45">
        <v>140597.76199999999</v>
      </c>
      <c r="H37" s="45">
        <v>0</v>
      </c>
      <c r="I37" s="45">
        <v>0</v>
      </c>
      <c r="J37" s="46">
        <f t="shared" ref="J37:J54" si="3">SUM(F37:I37)</f>
        <v>166929.46599999999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181</v>
      </c>
      <c r="G38" s="45">
        <v>15097</v>
      </c>
      <c r="H38" s="45">
        <v>0</v>
      </c>
      <c r="I38" s="45">
        <v>0</v>
      </c>
      <c r="J38" s="46">
        <f t="shared" si="3"/>
        <v>15278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60126.076000000001</v>
      </c>
      <c r="G39" s="45">
        <v>854671.39599999995</v>
      </c>
      <c r="H39" s="45">
        <v>35552.737000000001</v>
      </c>
      <c r="I39" s="45">
        <v>174200.65297</v>
      </c>
      <c r="J39" s="46">
        <f t="shared" si="3"/>
        <v>1124550.86197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29793.621999999999</v>
      </c>
      <c r="G40" s="45">
        <v>125291.44100000001</v>
      </c>
      <c r="H40" s="45">
        <v>0</v>
      </c>
      <c r="I40" s="45">
        <v>0</v>
      </c>
      <c r="J40" s="46">
        <f t="shared" si="3"/>
        <v>155085.06299999999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6425.7929999999997</v>
      </c>
      <c r="G41" s="45">
        <v>97561.455000000002</v>
      </c>
      <c r="H41" s="45">
        <v>0</v>
      </c>
      <c r="I41" s="45">
        <v>7500</v>
      </c>
      <c r="J41" s="46">
        <f t="shared" si="3"/>
        <v>111487.24800000001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1354.3589999999999</v>
      </c>
      <c r="G42" s="45">
        <v>14393.187</v>
      </c>
      <c r="H42" s="45">
        <v>0</v>
      </c>
      <c r="I42" s="45">
        <v>0</v>
      </c>
      <c r="J42" s="46">
        <f t="shared" si="3"/>
        <v>15747.546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3590.0830000000001</v>
      </c>
      <c r="G43" s="45">
        <v>15297.499320000001</v>
      </c>
      <c r="H43" s="45">
        <v>0</v>
      </c>
      <c r="I43" s="45">
        <v>0</v>
      </c>
      <c r="J43" s="46">
        <f t="shared" si="3"/>
        <v>18887.582320000001</v>
      </c>
      <c r="K43" s="56" t="s">
        <v>167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25512.91</v>
      </c>
      <c r="G44" s="83">
        <v>59372.504000000001</v>
      </c>
      <c r="H44" s="83">
        <v>0</v>
      </c>
      <c r="I44" s="83">
        <v>1500</v>
      </c>
      <c r="J44" s="46">
        <f t="shared" si="3"/>
        <v>86385.414000000004</v>
      </c>
      <c r="K44" s="56" t="s">
        <v>167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1300</v>
      </c>
      <c r="G45" s="83">
        <v>14017.951999999999</v>
      </c>
      <c r="H45" s="83">
        <v>0</v>
      </c>
      <c r="I45" s="83">
        <v>0</v>
      </c>
      <c r="J45" s="46">
        <f>SUM(F45:I45)</f>
        <v>15317.951999999999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666.53399999999999</v>
      </c>
      <c r="G46" s="83">
        <v>24628.037</v>
      </c>
      <c r="H46" s="83">
        <v>0</v>
      </c>
      <c r="I46" s="83">
        <v>0</v>
      </c>
      <c r="J46" s="46">
        <f t="shared" si="3"/>
        <v>25294.571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1058.923</v>
      </c>
      <c r="G47" s="83">
        <v>8432.01</v>
      </c>
      <c r="H47" s="83">
        <v>0</v>
      </c>
      <c r="I47" s="83">
        <v>0</v>
      </c>
      <c r="J47" s="46">
        <f t="shared" si="3"/>
        <v>9490.9330000000009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191345.48199999999</v>
      </c>
      <c r="G48" s="83">
        <v>453639.04499999998</v>
      </c>
      <c r="H48" s="83">
        <v>0</v>
      </c>
      <c r="I48" s="83">
        <v>251000</v>
      </c>
      <c r="J48" s="46">
        <f t="shared" si="3"/>
        <v>895984.527</v>
      </c>
      <c r="K48" s="56" t="s">
        <v>167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3715.2849999999999</v>
      </c>
      <c r="H49" s="83">
        <v>0</v>
      </c>
      <c r="I49" s="83">
        <v>0</v>
      </c>
      <c r="J49" s="46">
        <f t="shared" si="3"/>
        <v>3715.2849999999999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23246.593000000001</v>
      </c>
      <c r="G50" s="83">
        <v>22195.701000000001</v>
      </c>
      <c r="H50" s="83">
        <v>0</v>
      </c>
      <c r="I50" s="83">
        <v>0</v>
      </c>
      <c r="J50" s="46">
        <f t="shared" si="3"/>
        <v>45442.294000000002</v>
      </c>
      <c r="K50" s="56" t="s">
        <v>240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1800</v>
      </c>
      <c r="G51" s="83">
        <v>14747.275869999999</v>
      </c>
      <c r="H51" s="83">
        <v>0</v>
      </c>
      <c r="I51" s="83">
        <v>0</v>
      </c>
      <c r="J51" s="46">
        <f t="shared" si="3"/>
        <v>16547.275869999998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24561.379000000001</v>
      </c>
      <c r="G52" s="83">
        <v>60842.928999999996</v>
      </c>
      <c r="H52" s="83">
        <v>0</v>
      </c>
      <c r="I52" s="83">
        <v>4500</v>
      </c>
      <c r="J52" s="46">
        <f t="shared" si="3"/>
        <v>89904.30799999999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31497.028999999999</v>
      </c>
      <c r="H53" s="83">
        <v>0</v>
      </c>
      <c r="I53" s="83">
        <v>0</v>
      </c>
      <c r="J53" s="46">
        <f t="shared" si="3"/>
        <v>41997.028999999995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72" t="s">
        <v>152</v>
      </c>
      <c r="F54" s="169">
        <f>'16'!F54</f>
        <v>3000</v>
      </c>
      <c r="G54" s="169">
        <f>'16'!G54</f>
        <v>31400</v>
      </c>
      <c r="H54" s="133">
        <v>0</v>
      </c>
      <c r="I54" s="169">
        <f>'16'!I54</f>
        <v>80000</v>
      </c>
      <c r="J54" s="134">
        <f t="shared" si="3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61"/>
      <c r="G55" s="61"/>
      <c r="H55" s="61"/>
      <c r="I55" s="61"/>
      <c r="J55" s="61"/>
      <c r="K55" s="61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62000</v>
      </c>
      <c r="G56" s="22">
        <v>207000</v>
      </c>
      <c r="H56" s="22">
        <v>42500</v>
      </c>
      <c r="I56" s="22">
        <v>0</v>
      </c>
      <c r="J56" s="24">
        <f t="shared" ref="J56:J70" si="4">SUM(F56:I56)</f>
        <v>311500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770317.34400000004</v>
      </c>
      <c r="G57" s="22">
        <v>1761467.3840000001</v>
      </c>
      <c r="H57" s="22">
        <v>0</v>
      </c>
      <c r="I57" s="22">
        <v>0</v>
      </c>
      <c r="J57" s="24">
        <f>SUM(F57:I57)</f>
        <v>2531784.7280000001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21089.177</v>
      </c>
      <c r="G58" s="22">
        <v>117411.72199999999</v>
      </c>
      <c r="H58" s="22">
        <v>0</v>
      </c>
      <c r="I58" s="22">
        <v>0</v>
      </c>
      <c r="J58" s="24">
        <f t="shared" si="4"/>
        <v>138500.899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40007.178999999996</v>
      </c>
      <c r="G59" s="22">
        <v>105310</v>
      </c>
      <c r="H59" s="22">
        <v>14605.641</v>
      </c>
      <c r="I59" s="22">
        <v>0</v>
      </c>
      <c r="J59" s="24">
        <f t="shared" si="4"/>
        <v>159922.82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42000</v>
      </c>
      <c r="G60" s="22">
        <v>346000</v>
      </c>
      <c r="H60" s="22">
        <v>5000</v>
      </c>
      <c r="I60" s="22">
        <v>70000</v>
      </c>
      <c r="J60" s="24">
        <f t="shared" si="4"/>
        <v>463000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46451</v>
      </c>
      <c r="G61" s="45">
        <v>134274</v>
      </c>
      <c r="H61" s="45">
        <v>0</v>
      </c>
      <c r="I61" s="45">
        <v>0</v>
      </c>
      <c r="J61" s="46">
        <f>SUM(F61:I61)</f>
        <v>180725</v>
      </c>
      <c r="K61" s="45" t="s">
        <v>299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10793.956</v>
      </c>
      <c r="G62" s="22">
        <v>46480.010999999999</v>
      </c>
      <c r="H62" s="22">
        <v>0</v>
      </c>
      <c r="I62" s="22">
        <v>0</v>
      </c>
      <c r="J62" s="24">
        <f t="shared" si="4"/>
        <v>57273.966999999997</v>
      </c>
      <c r="K62" s="22" t="s">
        <v>288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559405</v>
      </c>
      <c r="G63" s="19">
        <v>1523603</v>
      </c>
      <c r="H63" s="19">
        <v>43699</v>
      </c>
      <c r="I63" s="19">
        <v>127979</v>
      </c>
      <c r="J63" s="24">
        <f t="shared" si="4"/>
        <v>2254686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5294.0209999999997</v>
      </c>
      <c r="G64" s="19">
        <v>9557.3389999999999</v>
      </c>
      <c r="H64" s="19">
        <v>2144.7049999999999</v>
      </c>
      <c r="I64" s="9" t="s">
        <v>3</v>
      </c>
      <c r="J64" s="24">
        <f t="shared" si="4"/>
        <v>16996.065000000002</v>
      </c>
      <c r="K64" s="102"/>
    </row>
    <row r="65" spans="1:11" ht="13.9" x14ac:dyDescent="0.4">
      <c r="A65" s="39"/>
      <c r="B65" s="2" t="s">
        <v>118</v>
      </c>
      <c r="C65" s="13" t="s">
        <v>184</v>
      </c>
      <c r="D65" s="13"/>
      <c r="E65" s="2" t="s">
        <v>205</v>
      </c>
      <c r="F65" s="120">
        <f>'16'!F65</f>
        <v>700</v>
      </c>
      <c r="G65" s="120">
        <f>'16'!G65</f>
        <v>19095</v>
      </c>
      <c r="H65" s="120">
        <f>'16'!H65</f>
        <v>400</v>
      </c>
      <c r="I65" s="120">
        <f>'16'!I65</f>
        <v>0</v>
      </c>
      <c r="J65" s="121">
        <f t="shared" si="4"/>
        <v>20195</v>
      </c>
      <c r="K65" s="33" t="s">
        <v>251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170739.19099999999</v>
      </c>
      <c r="G66" s="22">
        <v>209766.30900000001</v>
      </c>
      <c r="H66" s="22">
        <v>6638.0429999999997</v>
      </c>
      <c r="I66" s="19">
        <v>56576.167000000001</v>
      </c>
      <c r="J66" s="24">
        <f>SUM(F66:I66)</f>
        <v>443719.71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47343.385000000002</v>
      </c>
      <c r="G67" s="22">
        <v>110927.234</v>
      </c>
      <c r="H67" s="22">
        <v>0</v>
      </c>
      <c r="I67" s="22">
        <v>99868.33</v>
      </c>
      <c r="J67" s="24">
        <f t="shared" ref="J67" si="5">SUM(F67:I67)</f>
        <v>258138.94900000002</v>
      </c>
      <c r="K67" s="24"/>
    </row>
    <row r="68" spans="1:11" ht="13.9" x14ac:dyDescent="0.4">
      <c r="A68" s="39"/>
      <c r="B68" s="2" t="s">
        <v>291</v>
      </c>
      <c r="C68" s="13"/>
      <c r="D68" s="13"/>
      <c r="E68" s="2"/>
      <c r="F68" s="22"/>
      <c r="G68" s="22"/>
      <c r="H68" s="22"/>
      <c r="I68" s="22"/>
      <c r="J68" s="24"/>
      <c r="K68" s="24"/>
    </row>
    <row r="69" spans="1:11" ht="13.9" x14ac:dyDescent="0.4">
      <c r="A69" s="39"/>
      <c r="B69" s="23" t="s">
        <v>120</v>
      </c>
      <c r="C69" s="69" t="s">
        <v>184</v>
      </c>
      <c r="D69" s="69"/>
      <c r="E69" s="23" t="s">
        <v>66</v>
      </c>
      <c r="F69" s="22">
        <v>18208.271000000001</v>
      </c>
      <c r="G69" s="22">
        <v>49956.504000000001</v>
      </c>
      <c r="H69" s="22">
        <v>3981.9250000000002</v>
      </c>
      <c r="I69" s="22">
        <v>0</v>
      </c>
      <c r="J69" s="24">
        <f>SUM(F69:I69)</f>
        <v>72146.7</v>
      </c>
      <c r="K69" s="33"/>
    </row>
    <row r="70" spans="1:11" ht="13.9" x14ac:dyDescent="0.4">
      <c r="A70" s="39"/>
      <c r="B70" s="56" t="s">
        <v>161</v>
      </c>
      <c r="C70" s="53"/>
      <c r="D70" s="53"/>
      <c r="E70" s="56" t="s">
        <v>160</v>
      </c>
      <c r="F70" s="83">
        <v>29334.039000000001</v>
      </c>
      <c r="G70" s="83">
        <v>64822.493999999999</v>
      </c>
      <c r="H70" s="83">
        <f>'16'!H70</f>
        <v>0</v>
      </c>
      <c r="I70" s="83">
        <f>'16'!I70</f>
        <v>0</v>
      </c>
      <c r="J70" s="46">
        <f t="shared" si="4"/>
        <v>94156.532999999996</v>
      </c>
      <c r="K70" s="45"/>
    </row>
    <row r="71" spans="1:11" ht="13.9" x14ac:dyDescent="0.4">
      <c r="A71" s="39"/>
      <c r="B71" s="23" t="s">
        <v>121</v>
      </c>
      <c r="C71" s="69" t="s">
        <v>184</v>
      </c>
      <c r="D71" s="69"/>
      <c r="E71" s="23" t="s">
        <v>67</v>
      </c>
      <c r="F71" s="22">
        <v>649830</v>
      </c>
      <c r="G71" s="22">
        <v>260510</v>
      </c>
      <c r="H71" s="22" t="s">
        <v>16</v>
      </c>
      <c r="I71" s="9" t="s">
        <v>3</v>
      </c>
      <c r="J71" s="24">
        <f>SUM(F71:I71)</f>
        <v>910340</v>
      </c>
      <c r="K71" s="22" t="s">
        <v>298</v>
      </c>
    </row>
    <row r="72" spans="1:11" ht="13.9" x14ac:dyDescent="0.4">
      <c r="A72" s="39"/>
      <c r="B72" s="23" t="s">
        <v>162</v>
      </c>
      <c r="C72" s="69" t="s">
        <v>184</v>
      </c>
      <c r="D72" s="69"/>
      <c r="E72" s="23" t="s">
        <v>268</v>
      </c>
      <c r="F72" s="22">
        <v>11727.79984</v>
      </c>
      <c r="G72" s="22">
        <v>157376.07311</v>
      </c>
      <c r="H72" s="22">
        <v>0</v>
      </c>
      <c r="I72" s="22">
        <v>0</v>
      </c>
      <c r="J72" s="24">
        <f>SUM(F72:I72)</f>
        <v>169103.87294999999</v>
      </c>
      <c r="K72" s="22"/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91327.989000000001</v>
      </c>
      <c r="G73" s="83">
        <v>111944.205</v>
      </c>
      <c r="H73" s="83">
        <f>'16'!H73</f>
        <v>0</v>
      </c>
      <c r="I73" s="83">
        <f>'16'!I73</f>
        <v>0</v>
      </c>
      <c r="J73" s="46">
        <f>SUM(F73:I73)</f>
        <v>203272.19400000002</v>
      </c>
      <c r="K73" s="45"/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60"/>
      <c r="G74" s="60"/>
      <c r="H74" s="60"/>
      <c r="I74" s="60"/>
      <c r="J74" s="60"/>
      <c r="K74" s="60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16.824000000000002</v>
      </c>
      <c r="G75" s="19">
        <v>413.58699999999999</v>
      </c>
      <c r="H75" s="19">
        <v>95.543000000000006</v>
      </c>
      <c r="I75" s="19">
        <v>0</v>
      </c>
      <c r="J75" s="24">
        <f>SUM(F75:I75)</f>
        <v>525.95399999999995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165593</v>
      </c>
      <c r="H76" s="19">
        <v>0</v>
      </c>
      <c r="I76" s="19">
        <v>0</v>
      </c>
      <c r="J76" s="24">
        <f>SUM(F76:I76)</f>
        <v>165593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45" t="s">
        <v>3</v>
      </c>
      <c r="G77" s="145" t="s">
        <v>3</v>
      </c>
      <c r="H77" s="145" t="s">
        <v>3</v>
      </c>
      <c r="I77" s="145" t="s">
        <v>3</v>
      </c>
      <c r="J77" s="121">
        <f>'15'!J77*(1-0.05)</f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56609.37053</v>
      </c>
      <c r="G78" s="22">
        <v>283603.49410000001</v>
      </c>
      <c r="H78" s="22">
        <v>0</v>
      </c>
      <c r="I78" s="22">
        <v>0</v>
      </c>
      <c r="J78" s="24">
        <f>SUM(F78:I78)</f>
        <v>340212.86463000003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120">
        <v>4404.835</v>
      </c>
      <c r="G79" s="120">
        <v>11177.579</v>
      </c>
      <c r="H79" s="120">
        <v>776.52700000000004</v>
      </c>
      <c r="I79" s="120">
        <v>0</v>
      </c>
      <c r="J79" s="121">
        <f>SUM(F79:I79)</f>
        <v>16358.941000000001</v>
      </c>
      <c r="K79" s="33" t="s">
        <v>251</v>
      </c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22419.338680000001</v>
      </c>
      <c r="G80" s="19">
        <v>5060.0204199999998</v>
      </c>
      <c r="H80" s="19">
        <v>8797.8034499999994</v>
      </c>
      <c r="I80" s="19">
        <v>136.02736999999999</v>
      </c>
      <c r="J80" s="24">
        <f>SUM(F80:I80)</f>
        <v>36413.189920000004</v>
      </c>
      <c r="K80" s="102"/>
    </row>
    <row r="81" spans="1:11" ht="13.9" x14ac:dyDescent="0.4">
      <c r="A81" s="40"/>
      <c r="B81" s="23" t="s">
        <v>125</v>
      </c>
      <c r="C81" s="69" t="s">
        <v>184</v>
      </c>
      <c r="D81" s="69"/>
      <c r="E81" s="23" t="s">
        <v>73</v>
      </c>
      <c r="F81" s="22">
        <v>13160.86</v>
      </c>
      <c r="G81" s="22">
        <v>2804.7379999999998</v>
      </c>
      <c r="H81" s="22">
        <v>0</v>
      </c>
      <c r="I81" s="22">
        <v>0</v>
      </c>
      <c r="J81" s="24">
        <f>SUM(F81:I81)</f>
        <v>15965.598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120">
        <f>'16'!F82</f>
        <v>500</v>
      </c>
      <c r="G82" s="120">
        <f>'16'!G82</f>
        <v>25650</v>
      </c>
      <c r="H82" s="120">
        <v>800</v>
      </c>
      <c r="I82" s="120">
        <v>0</v>
      </c>
      <c r="J82" s="121">
        <f>SUM(F82:I82)</f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ref="J83:J87" si="6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50408.163999999997</v>
      </c>
      <c r="H84" s="19">
        <v>0</v>
      </c>
      <c r="I84" s="19">
        <v>0</v>
      </c>
      <c r="J84" s="24">
        <f t="shared" si="6"/>
        <v>50408.163999999997</v>
      </c>
      <c r="K84" s="8" t="s">
        <v>270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264913.73599999998</v>
      </c>
      <c r="G85" s="22">
        <v>767958.09199999995</v>
      </c>
      <c r="H85" s="22">
        <v>0</v>
      </c>
      <c r="I85" s="22">
        <v>0</v>
      </c>
      <c r="J85" s="24">
        <f t="shared" si="6"/>
        <v>1032871.828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95238</v>
      </c>
      <c r="G86" s="22">
        <v>1190310</v>
      </c>
      <c r="H86" s="22">
        <v>0</v>
      </c>
      <c r="I86" s="22">
        <v>0</v>
      </c>
      <c r="J86" s="24">
        <f t="shared" si="6"/>
        <v>1285548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14460.90619</v>
      </c>
      <c r="G87" s="22">
        <v>26692.73733</v>
      </c>
      <c r="H87" s="22">
        <v>6521.6081700000004</v>
      </c>
      <c r="I87" s="22">
        <v>0</v>
      </c>
      <c r="J87" s="24">
        <f t="shared" si="6"/>
        <v>47675.251689999997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45" t="s">
        <v>3</v>
      </c>
      <c r="G88" s="145" t="s">
        <v>3</v>
      </c>
      <c r="H88" s="145" t="s">
        <v>3</v>
      </c>
      <c r="I88" s="145" t="s">
        <v>3</v>
      </c>
      <c r="J88" s="121">
        <f>'16'!J88</f>
        <v>10925</v>
      </c>
      <c r="K88" s="120" t="s">
        <v>251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120">
        <f>'16'!F89</f>
        <v>9100</v>
      </c>
      <c r="G89" s="120">
        <f>'16'!G89</f>
        <v>19000</v>
      </c>
      <c r="H89" s="120">
        <v>0</v>
      </c>
      <c r="I89" s="120">
        <v>0</v>
      </c>
      <c r="J89" s="121">
        <f>'16'!J89</f>
        <v>28100</v>
      </c>
      <c r="K89" s="120" t="s">
        <v>251</v>
      </c>
    </row>
    <row r="90" spans="1:11" ht="13.9" x14ac:dyDescent="0.4">
      <c r="A90" s="40"/>
      <c r="B90" s="23" t="s">
        <v>19</v>
      </c>
      <c r="C90" s="69" t="s">
        <v>184</v>
      </c>
      <c r="D90" s="69"/>
      <c r="E90" s="23" t="s">
        <v>82</v>
      </c>
      <c r="F90" s="22">
        <v>262227.62199999997</v>
      </c>
      <c r="G90" s="22">
        <v>405880.73599999998</v>
      </c>
      <c r="H90" s="22">
        <v>21474.168000000001</v>
      </c>
      <c r="I90" s="22">
        <v>85974.032999999996</v>
      </c>
      <c r="J90" s="24">
        <f t="shared" ref="J90:J100" si="7">SUM(F90:I90)</f>
        <v>775556.55899999989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141000</v>
      </c>
      <c r="G91" s="22">
        <v>284000</v>
      </c>
      <c r="H91" s="22">
        <v>0</v>
      </c>
      <c r="I91" s="19">
        <v>0</v>
      </c>
      <c r="J91" s="24">
        <f t="shared" si="7"/>
        <v>425000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641800</v>
      </c>
      <c r="G92" s="22">
        <v>37800</v>
      </c>
      <c r="H92" s="22">
        <v>0</v>
      </c>
      <c r="I92" s="19">
        <v>81100</v>
      </c>
      <c r="J92" s="24">
        <f t="shared" si="7"/>
        <v>760700</v>
      </c>
      <c r="K92" s="101" t="s">
        <v>239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14968.37</v>
      </c>
      <c r="G93" s="22">
        <v>98089.63</v>
      </c>
      <c r="H93" s="22">
        <v>2847.239</v>
      </c>
      <c r="I93" s="22">
        <v>3149.2689999999998</v>
      </c>
      <c r="J93" s="24">
        <f t="shared" si="7"/>
        <v>119054.508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45">
        <v>15632</v>
      </c>
      <c r="G94" s="45">
        <v>29023</v>
      </c>
      <c r="H94" s="83">
        <v>1814</v>
      </c>
      <c r="I94" s="45">
        <v>0</v>
      </c>
      <c r="J94" s="46">
        <f t="shared" si="7"/>
        <v>46469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120">
        <v>0</v>
      </c>
      <c r="G95" s="120">
        <v>0</v>
      </c>
      <c r="H95" s="120">
        <v>0</v>
      </c>
      <c r="I95" s="120">
        <v>0</v>
      </c>
      <c r="J95" s="121">
        <f t="shared" si="7"/>
        <v>0</v>
      </c>
      <c r="K95" s="120" t="s">
        <v>251</v>
      </c>
    </row>
    <row r="96" spans="1:11" ht="13.9" x14ac:dyDescent="0.4">
      <c r="A96" s="40"/>
      <c r="B96" s="23" t="s">
        <v>24</v>
      </c>
      <c r="C96" s="69" t="s">
        <v>184</v>
      </c>
      <c r="D96" s="69"/>
      <c r="E96" s="23" t="s">
        <v>178</v>
      </c>
      <c r="F96" s="22">
        <v>62130</v>
      </c>
      <c r="G96" s="22">
        <v>296260</v>
      </c>
      <c r="H96" s="22">
        <v>34100</v>
      </c>
      <c r="I96" s="22" t="str">
        <f>'16'!I96</f>
        <v>not available</v>
      </c>
      <c r="J96" s="24">
        <f t="shared" si="7"/>
        <v>392490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1238.24936</v>
      </c>
      <c r="G97" s="22">
        <v>14265.907080000001</v>
      </c>
      <c r="H97" s="22">
        <v>1461.12833</v>
      </c>
      <c r="I97" s="22">
        <v>0</v>
      </c>
      <c r="J97" s="24">
        <f t="shared" si="7"/>
        <v>16965.284770000002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110417.45501000001</v>
      </c>
      <c r="G98" s="22">
        <v>224580.44323999999</v>
      </c>
      <c r="H98" s="22">
        <v>14773.464900000001</v>
      </c>
      <c r="I98" s="22">
        <v>0</v>
      </c>
      <c r="J98" s="24">
        <f t="shared" si="7"/>
        <v>349771.36314999999</v>
      </c>
      <c r="K98" s="102"/>
    </row>
    <row r="99" spans="1:11" ht="13.9" x14ac:dyDescent="0.4">
      <c r="A99" s="40"/>
      <c r="B99" s="23" t="s">
        <v>137</v>
      </c>
      <c r="C99" s="69" t="s">
        <v>184</v>
      </c>
      <c r="D99" s="69"/>
      <c r="E99" s="23" t="s">
        <v>90</v>
      </c>
      <c r="F99" s="22">
        <v>25614.776999999998</v>
      </c>
      <c r="G99" s="22">
        <f>91395.885+31588.576</f>
        <v>122984.461</v>
      </c>
      <c r="H99" s="22">
        <v>0</v>
      </c>
      <c r="I99" s="19">
        <v>0</v>
      </c>
      <c r="J99" s="24">
        <f t="shared" si="7"/>
        <v>148599.23799999998</v>
      </c>
      <c r="K99" s="22" t="s">
        <v>312</v>
      </c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238000</v>
      </c>
      <c r="H100" s="19">
        <v>0</v>
      </c>
      <c r="I100" s="19">
        <v>0</v>
      </c>
      <c r="J100" s="24">
        <f t="shared" si="7"/>
        <v>239000</v>
      </c>
      <c r="K100" s="107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56745.63</v>
      </c>
      <c r="G101" s="19">
        <v>156853.55600000001</v>
      </c>
      <c r="H101" s="19">
        <v>5931.5889999999999</v>
      </c>
      <c r="I101" s="19">
        <v>0</v>
      </c>
      <c r="J101" s="24">
        <f>SUM(F101:I101)</f>
        <v>219530.77500000002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120">
        <f>'16'!F102</f>
        <v>1500</v>
      </c>
      <c r="G102" s="120">
        <f>'16'!G102</f>
        <v>183350</v>
      </c>
      <c r="H102" s="120">
        <f>'16'!H102</f>
        <v>300</v>
      </c>
      <c r="I102" s="120">
        <f>'16'!I102</f>
        <v>0</v>
      </c>
      <c r="J102" s="121">
        <f>'16'!J102</f>
        <v>185150</v>
      </c>
      <c r="K102" s="120" t="s">
        <v>251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379813.29399999999</v>
      </c>
      <c r="G103" s="22">
        <v>590207.82499999995</v>
      </c>
      <c r="H103" s="22">
        <v>269177.772</v>
      </c>
      <c r="I103" s="22">
        <v>625640.05700000003</v>
      </c>
      <c r="J103" s="24">
        <f>SUM(F103:I103)</f>
        <v>1864838.9479999999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982273.06200000003</v>
      </c>
      <c r="G104" s="22">
        <v>1329949.179</v>
      </c>
      <c r="H104" s="22">
        <v>985856.69099999999</v>
      </c>
      <c r="I104" s="22">
        <v>1490101.3219999999</v>
      </c>
      <c r="J104" s="24">
        <f>SUM(F104:I104)</f>
        <v>4788180.2539999997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60"/>
      <c r="G105" s="60"/>
      <c r="H105" s="60"/>
      <c r="I105" s="60"/>
      <c r="J105" s="60"/>
      <c r="K105" s="60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22500</v>
      </c>
      <c r="H106" s="68" t="s">
        <v>3</v>
      </c>
      <c r="I106" s="68" t="s">
        <v>3</v>
      </c>
      <c r="J106" s="46">
        <f t="shared" ref="J106:J113" si="8">SUM(F106:I106)</f>
        <v>22500</v>
      </c>
      <c r="K106" s="45" t="s">
        <v>166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127">
        <v>3000</v>
      </c>
      <c r="G107" s="127">
        <f>11000+12000</f>
        <v>23000</v>
      </c>
      <c r="H107" s="126" t="s">
        <v>3</v>
      </c>
      <c r="I107" s="126" t="s">
        <v>3</v>
      </c>
      <c r="J107" s="34">
        <f t="shared" si="8"/>
        <v>26000</v>
      </c>
      <c r="K107" s="33" t="s">
        <v>251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27800</v>
      </c>
      <c r="H108" s="68" t="s">
        <v>3</v>
      </c>
      <c r="I108" s="68" t="s">
        <v>3</v>
      </c>
      <c r="J108" s="46">
        <f t="shared" si="8"/>
        <v>27800</v>
      </c>
      <c r="K108" s="45" t="s">
        <v>276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83">
        <v>54000</v>
      </c>
      <c r="H109" s="68" t="s">
        <v>3</v>
      </c>
      <c r="I109" s="68" t="s">
        <v>3</v>
      </c>
      <c r="J109" s="46">
        <f t="shared" si="8"/>
        <v>54000</v>
      </c>
      <c r="K109" s="45" t="s">
        <v>276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149">
        <v>0</v>
      </c>
      <c r="G110" s="149">
        <v>37000</v>
      </c>
      <c r="H110" s="149">
        <v>0</v>
      </c>
      <c r="I110" s="149">
        <v>0</v>
      </c>
      <c r="J110" s="121">
        <f t="shared" si="8"/>
        <v>37000</v>
      </c>
      <c r="K110" s="120" t="s">
        <v>251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49">
        <v>2900</v>
      </c>
      <c r="G111" s="149">
        <v>13000</v>
      </c>
      <c r="H111" s="149" t="s">
        <v>3</v>
      </c>
      <c r="I111" s="149" t="s">
        <v>3</v>
      </c>
      <c r="J111" s="157">
        <f t="shared" si="8"/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83">
        <v>28900</v>
      </c>
      <c r="H112" s="68" t="s">
        <v>3</v>
      </c>
      <c r="I112" s="68" t="s">
        <v>3</v>
      </c>
      <c r="J112" s="46">
        <f t="shared" si="8"/>
        <v>28900</v>
      </c>
      <c r="K112" s="45" t="s">
        <v>166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1800</v>
      </c>
      <c r="H113" s="68" t="s">
        <v>3</v>
      </c>
      <c r="I113" s="68" t="s">
        <v>3</v>
      </c>
      <c r="J113" s="46">
        <f t="shared" si="8"/>
        <v>1800</v>
      </c>
      <c r="K113" s="45" t="s">
        <v>166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45" t="s">
        <v>3</v>
      </c>
      <c r="G114" s="149">
        <v>300000</v>
      </c>
      <c r="H114" s="145" t="s">
        <v>3</v>
      </c>
      <c r="I114" s="145" t="s">
        <v>3</v>
      </c>
      <c r="J114" s="121">
        <f>'16'!J114</f>
        <v>300000</v>
      </c>
      <c r="K114" s="120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184700</v>
      </c>
      <c r="H115" s="68" t="s">
        <v>3</v>
      </c>
      <c r="I115" s="68" t="s">
        <v>3</v>
      </c>
      <c r="J115" s="46">
        <f>SUM(F115:I115)</f>
        <v>184700</v>
      </c>
      <c r="K115" s="45" t="s">
        <v>276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149">
        <v>19000</v>
      </c>
      <c r="G116" s="149">
        <v>21000</v>
      </c>
      <c r="H116" s="145" t="s">
        <v>3</v>
      </c>
      <c r="I116" s="145" t="s">
        <v>3</v>
      </c>
      <c r="J116" s="121">
        <f>SUM(F116:I116)</f>
        <v>40000</v>
      </c>
      <c r="K116" s="120" t="s">
        <v>251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68" t="s">
        <v>3</v>
      </c>
      <c r="G117" s="83">
        <v>337000</v>
      </c>
      <c r="H117" s="68" t="s">
        <v>3</v>
      </c>
      <c r="I117" s="68" t="s">
        <v>3</v>
      </c>
      <c r="J117" s="46">
        <f>SUM(F117:I117)</f>
        <v>337000</v>
      </c>
      <c r="K117" s="45" t="s">
        <v>166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145" t="s">
        <v>3</v>
      </c>
      <c r="G118" s="149">
        <v>7900</v>
      </c>
      <c r="H118" s="145" t="s">
        <v>3</v>
      </c>
      <c r="I118" s="145" t="s">
        <v>3</v>
      </c>
      <c r="J118" s="121">
        <f>'16'!J118</f>
        <v>7900</v>
      </c>
      <c r="K118" s="120" t="s">
        <v>251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6534508.8090999983</v>
      </c>
      <c r="G120" s="21">
        <f>SUM(G10:G119)</f>
        <v>16394351.064680001</v>
      </c>
      <c r="H120" s="21">
        <f>SUM(H10:H119)</f>
        <v>1924737.5674199997</v>
      </c>
      <c r="I120" s="21">
        <f>SUM(I10:I119)</f>
        <v>3371034.9233200001</v>
      </c>
      <c r="J120" s="67">
        <f>SUM(J10:J119)</f>
        <v>28249557.364520002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8459246.3765199985</v>
      </c>
      <c r="G121" s="8"/>
      <c r="H121" s="8"/>
      <c r="I121" s="35"/>
      <c r="J121" s="22">
        <f>SUM(F120:I120)</f>
        <v>28224632.364519995</v>
      </c>
      <c r="K121" s="1">
        <f>J120-J121</f>
        <v>24925.000000007451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6537501.3090999983</v>
      </c>
      <c r="G123" s="86">
        <f>G120+G129</f>
        <v>16421283.564680001</v>
      </c>
      <c r="H123" s="86">
        <f>H120</f>
        <v>1924737.5674199997</v>
      </c>
      <c r="I123" s="86">
        <f>I120</f>
        <v>3371034.9233200001</v>
      </c>
      <c r="J123" s="86">
        <f>SUM(F123:I123)</f>
        <v>28254557.364519995</v>
      </c>
      <c r="K123" s="6">
        <f>J123-J120</f>
        <v>4999.9999999925494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8462238.8765199985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0.23137864892936932</v>
      </c>
      <c r="G125" s="29">
        <f>G123/$J123</f>
        <v>0.58119061476789036</v>
      </c>
      <c r="H125" s="29">
        <f>H123/$J123</f>
        <v>6.8121313761472846E-2</v>
      </c>
      <c r="I125" s="29">
        <f>I123/$J123</f>
        <v>0.11930942254126758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1.0000000000000002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2992.5</v>
      </c>
      <c r="G129" s="7">
        <f>0.9*$J139</f>
        <v>26932.5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9">0.1*$J132</f>
        <v>0</v>
      </c>
      <c r="G132" s="7">
        <f t="shared" ref="G132:G137" si="10">0.9*$J132</f>
        <v>0</v>
      </c>
      <c r="H132" s="7">
        <v>0</v>
      </c>
      <c r="I132" s="7">
        <v>0</v>
      </c>
      <c r="J132" s="7">
        <v>0</v>
      </c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9"/>
        <v>0</v>
      </c>
      <c r="G133" s="7">
        <f t="shared" si="10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9"/>
        <v>0</v>
      </c>
      <c r="G134" s="7">
        <f t="shared" si="10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9"/>
        <v>0</v>
      </c>
      <c r="G135" s="7">
        <f t="shared" si="10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 t="shared" si="9"/>
        <v>2992.5</v>
      </c>
      <c r="G136" s="7">
        <f t="shared" si="10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9"/>
        <v>0</v>
      </c>
      <c r="G137" s="7">
        <f t="shared" si="10"/>
        <v>0</v>
      </c>
      <c r="H137" s="7">
        <v>0</v>
      </c>
      <c r="I137" s="7">
        <v>0</v>
      </c>
      <c r="J137" s="79">
        <v>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29925</v>
      </c>
      <c r="K139" s="3" t="s">
        <v>175</v>
      </c>
    </row>
  </sheetData>
  <pageMargins left="0.7" right="0.7" top="0.75" bottom="0.75" header="0.3" footer="0.3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C734-6B84-4069-BDC0-2076A85B05F8}">
  <dimension ref="A1:K139"/>
  <sheetViews>
    <sheetView topLeftCell="D49" zoomScale="60" zoomScaleNormal="60" workbookViewId="0">
      <selection activeCell="F106" sqref="F106:J118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267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6641518.2121000011</v>
      </c>
      <c r="G4" s="17">
        <f t="shared" ref="G4:I4" si="0">SUBTOTAL(9,G9:G118)</f>
        <v>16187118.234630005</v>
      </c>
      <c r="H4" s="17">
        <f t="shared" si="0"/>
        <v>1979624.155485</v>
      </c>
      <c r="I4" s="17">
        <f t="shared" si="0"/>
        <v>3350334.3998100003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5" t="s">
        <v>46</v>
      </c>
      <c r="C10" s="58"/>
      <c r="D10" s="76" t="s">
        <v>165</v>
      </c>
      <c r="E10" s="56" t="s">
        <v>169</v>
      </c>
      <c r="F10" s="68" t="s">
        <v>3</v>
      </c>
      <c r="G10" s="83">
        <v>53400</v>
      </c>
      <c r="H10" s="68" t="s">
        <v>3</v>
      </c>
      <c r="I10" s="68" t="s">
        <v>3</v>
      </c>
      <c r="J10" s="46">
        <f>SUM(F10:I10)</f>
        <v>53400</v>
      </c>
      <c r="K10" s="45" t="s">
        <v>276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749</v>
      </c>
      <c r="H11" s="83">
        <v>0</v>
      </c>
      <c r="I11" s="83">
        <v>0</v>
      </c>
      <c r="J11" s="46">
        <f t="shared" ref="J11:J30" si="1">SUM(F11:I11)</f>
        <v>749</v>
      </c>
      <c r="K11" s="45" t="s">
        <v>199</v>
      </c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1222</v>
      </c>
      <c r="H12" s="83">
        <v>0</v>
      </c>
      <c r="I12" s="83">
        <v>0</v>
      </c>
      <c r="J12" s="46">
        <f t="shared" si="1"/>
        <v>1222</v>
      </c>
      <c r="K12" s="45" t="s">
        <v>199</v>
      </c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83">
        <v>0</v>
      </c>
      <c r="G13" s="83">
        <v>1982</v>
      </c>
      <c r="H13" s="83">
        <v>0</v>
      </c>
      <c r="I13" s="83">
        <v>0</v>
      </c>
      <c r="J13" s="46">
        <f t="shared" si="1"/>
        <v>1982</v>
      </c>
      <c r="K13" s="45" t="s">
        <v>251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83">
        <v>23894</v>
      </c>
      <c r="H14" s="83">
        <v>0</v>
      </c>
      <c r="I14" s="83">
        <v>0</v>
      </c>
      <c r="J14" s="46">
        <f t="shared" si="1"/>
        <v>23894</v>
      </c>
      <c r="K14" s="45" t="s">
        <v>199</v>
      </c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83">
        <v>480</v>
      </c>
      <c r="H15" s="83">
        <v>0</v>
      </c>
      <c r="I15" s="83">
        <v>0</v>
      </c>
      <c r="J15" s="46">
        <f t="shared" si="1"/>
        <v>480</v>
      </c>
      <c r="K15" s="45" t="s">
        <v>199</v>
      </c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1669</v>
      </c>
      <c r="H16" s="56">
        <v>0</v>
      </c>
      <c r="I16" s="56">
        <v>0</v>
      </c>
      <c r="J16" s="46">
        <f t="shared" si="1"/>
        <v>1669</v>
      </c>
      <c r="K16" s="45" t="s">
        <v>199</v>
      </c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17644</v>
      </c>
      <c r="H17" s="56">
        <v>0</v>
      </c>
      <c r="I17" s="56">
        <v>0</v>
      </c>
      <c r="J17" s="46">
        <f t="shared" si="1"/>
        <v>17644</v>
      </c>
      <c r="K17" s="45" t="s">
        <v>199</v>
      </c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19588.312460000001</v>
      </c>
      <c r="G18" s="19">
        <v>48741.204449999997</v>
      </c>
      <c r="H18" s="19">
        <v>0</v>
      </c>
      <c r="I18" s="19">
        <v>89489.028030000001</v>
      </c>
      <c r="J18" s="24">
        <f t="shared" si="1"/>
        <v>157818.54493999999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21554</v>
      </c>
      <c r="H19" s="83">
        <v>0</v>
      </c>
      <c r="I19" s="83">
        <v>0</v>
      </c>
      <c r="J19" s="46">
        <f t="shared" si="1"/>
        <v>21554</v>
      </c>
      <c r="K19" s="45" t="s">
        <v>199</v>
      </c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1796</v>
      </c>
      <c r="H20" s="83">
        <v>0</v>
      </c>
      <c r="I20" s="83">
        <v>0</v>
      </c>
      <c r="J20" s="46">
        <f t="shared" si="1"/>
        <v>1796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117">
        <v>0</v>
      </c>
      <c r="G21" s="117">
        <v>90000</v>
      </c>
      <c r="H21" s="117">
        <v>0</v>
      </c>
      <c r="I21" s="117">
        <v>0</v>
      </c>
      <c r="J21" s="121">
        <f>'17'!J21</f>
        <v>85000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3179</v>
      </c>
      <c r="H22" s="45">
        <v>0</v>
      </c>
      <c r="I22" s="45">
        <v>0</v>
      </c>
      <c r="J22" s="46">
        <f t="shared" si="1"/>
        <v>3179</v>
      </c>
      <c r="K22" s="45" t="s">
        <v>199</v>
      </c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16186.66768</v>
      </c>
      <c r="G23" s="22">
        <f>33586.9697+8122.22222</f>
        <v>41709.191919999997</v>
      </c>
      <c r="H23" s="22">
        <v>0</v>
      </c>
      <c r="I23" s="22">
        <v>0</v>
      </c>
      <c r="J23" s="24">
        <f t="shared" si="1"/>
        <v>57895.859599999996</v>
      </c>
      <c r="K23" s="2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1031</v>
      </c>
      <c r="H24" s="45">
        <v>0</v>
      </c>
      <c r="I24" s="45">
        <v>0</v>
      </c>
      <c r="J24" s="46">
        <f t="shared" si="1"/>
        <v>1031</v>
      </c>
      <c r="K24" s="45" t="s">
        <v>199</v>
      </c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4341.942</v>
      </c>
      <c r="G25" s="22">
        <v>21709.71</v>
      </c>
      <c r="H25" s="19">
        <v>2894.6280000000002</v>
      </c>
      <c r="I25" s="19">
        <v>92858.152780000004</v>
      </c>
      <c r="J25" s="24">
        <f t="shared" si="1"/>
        <v>121804.43278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16153</v>
      </c>
      <c r="H26" s="83">
        <v>0</v>
      </c>
      <c r="I26" s="83">
        <v>0</v>
      </c>
      <c r="J26" s="46">
        <f t="shared" si="1"/>
        <v>16153</v>
      </c>
      <c r="K26" s="45" t="s">
        <v>199</v>
      </c>
    </row>
    <row r="27" spans="1:11" s="66" customFormat="1" ht="13.9" x14ac:dyDescent="0.4">
      <c r="A27" s="64"/>
      <c r="B27" s="23" t="s">
        <v>106</v>
      </c>
      <c r="C27" s="69" t="s">
        <v>184</v>
      </c>
      <c r="D27" s="69"/>
      <c r="E27" s="23" t="s">
        <v>55</v>
      </c>
      <c r="F27" s="22">
        <v>12173.5</v>
      </c>
      <c r="G27" s="19">
        <v>107725</v>
      </c>
      <c r="H27" s="19">
        <v>1837.5</v>
      </c>
      <c r="I27" s="19">
        <v>0</v>
      </c>
      <c r="J27" s="24">
        <f t="shared" si="1"/>
        <v>121736</v>
      </c>
      <c r="K27" s="80"/>
    </row>
    <row r="28" spans="1:11" s="66" customFormat="1" ht="13.9" x14ac:dyDescent="0.4">
      <c r="A28" s="64"/>
      <c r="B28" s="72" t="s">
        <v>217</v>
      </c>
      <c r="C28" s="76"/>
      <c r="D28" s="71" t="s">
        <v>165</v>
      </c>
      <c r="E28" s="72" t="s">
        <v>169</v>
      </c>
      <c r="F28" s="159" t="s">
        <v>3</v>
      </c>
      <c r="G28" s="159">
        <v>12700</v>
      </c>
      <c r="H28" s="159" t="s">
        <v>3</v>
      </c>
      <c r="I28" s="159" t="s">
        <v>3</v>
      </c>
      <c r="J28" s="121">
        <f>SUM(F28:I28)</f>
        <v>12700</v>
      </c>
      <c r="K28" s="120" t="s">
        <v>281</v>
      </c>
    </row>
    <row r="29" spans="1:11" s="66" customFormat="1" ht="13.9" x14ac:dyDescent="0.4">
      <c r="A29" s="64"/>
      <c r="B29" s="72" t="s">
        <v>197</v>
      </c>
      <c r="C29" s="76"/>
      <c r="D29" s="71" t="s">
        <v>186</v>
      </c>
      <c r="E29" s="72" t="s">
        <v>187</v>
      </c>
      <c r="F29" s="45">
        <v>0</v>
      </c>
      <c r="G29" s="83">
        <v>2</v>
      </c>
      <c r="H29" s="45">
        <v>0</v>
      </c>
      <c r="I29" s="45">
        <v>0</v>
      </c>
      <c r="J29" s="147">
        <f t="shared" si="1"/>
        <v>2</v>
      </c>
      <c r="K29" s="45" t="s">
        <v>199</v>
      </c>
    </row>
    <row r="30" spans="1:11" s="66" customFormat="1" ht="13.9" x14ac:dyDescent="0.4">
      <c r="A30" s="64"/>
      <c r="B30" s="72" t="s">
        <v>198</v>
      </c>
      <c r="C30" s="76"/>
      <c r="D30" s="71" t="s">
        <v>186</v>
      </c>
      <c r="E30" s="72" t="s">
        <v>187</v>
      </c>
      <c r="F30" s="45">
        <v>0</v>
      </c>
      <c r="G30" s="83">
        <v>513</v>
      </c>
      <c r="H30" s="45">
        <v>0</v>
      </c>
      <c r="I30" s="45">
        <v>0</v>
      </c>
      <c r="J30" s="147">
        <f t="shared" si="1"/>
        <v>513</v>
      </c>
      <c r="K30" s="45" t="s">
        <v>199</v>
      </c>
    </row>
    <row r="31" spans="1:11" ht="13.9" x14ac:dyDescent="0.4">
      <c r="A31" s="41"/>
      <c r="B31" s="56" t="s">
        <v>107</v>
      </c>
      <c r="C31" s="76"/>
      <c r="D31" s="76" t="s">
        <v>165</v>
      </c>
      <c r="E31" s="56" t="s">
        <v>56</v>
      </c>
      <c r="F31" s="122" t="s">
        <v>3</v>
      </c>
      <c r="G31" s="158">
        <v>28200</v>
      </c>
      <c r="H31" s="122" t="s">
        <v>3</v>
      </c>
      <c r="I31" s="122" t="s">
        <v>3</v>
      </c>
      <c r="J31" s="121">
        <f>SUM(F31:I31)</f>
        <v>28200</v>
      </c>
      <c r="K31" s="120" t="s">
        <v>273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60"/>
      <c r="G32" s="160"/>
      <c r="H32" s="160"/>
      <c r="I32" s="160"/>
      <c r="J32" s="30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8">
        <v>0</v>
      </c>
      <c r="G33" s="8">
        <v>0</v>
      </c>
      <c r="H33" s="8">
        <v>0</v>
      </c>
      <c r="I33" s="8">
        <v>0</v>
      </c>
      <c r="J33" s="2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55420.476999999999</v>
      </c>
      <c r="G34" s="22">
        <v>110840.955</v>
      </c>
      <c r="H34" s="22">
        <v>52160.449000000001</v>
      </c>
      <c r="I34" s="22">
        <v>0</v>
      </c>
      <c r="J34" s="24">
        <f>SUM(F34:I34)</f>
        <v>218421.88099999999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217508.514</v>
      </c>
      <c r="G35" s="22">
        <v>747828.16799999995</v>
      </c>
      <c r="H35" s="22">
        <v>330706.891</v>
      </c>
      <c r="I35" s="22">
        <v>12394.074000000001</v>
      </c>
      <c r="J35" s="24">
        <f>SUM(F35:I35)</f>
        <v>1308437.6469999999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61"/>
      <c r="G36" s="161"/>
      <c r="H36" s="161"/>
      <c r="I36" s="161"/>
      <c r="J36" s="61"/>
      <c r="K36" s="61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25862.097000000002</v>
      </c>
      <c r="G37" s="45">
        <v>109836.951</v>
      </c>
      <c r="H37" s="45">
        <v>0</v>
      </c>
      <c r="I37" s="45">
        <v>0</v>
      </c>
      <c r="J37" s="46">
        <f t="shared" ref="J37:J54" si="2">SUM(F37:I37)</f>
        <v>135699.04800000001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153</v>
      </c>
      <c r="G38" s="45">
        <v>15421</v>
      </c>
      <c r="H38" s="45">
        <v>0</v>
      </c>
      <c r="I38" s="45">
        <v>0</v>
      </c>
      <c r="J38" s="46">
        <f t="shared" si="2"/>
        <v>15574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55979.809000000001</v>
      </c>
      <c r="G39" s="45">
        <v>867966.89599999995</v>
      </c>
      <c r="H39" s="45">
        <v>34399.582999999999</v>
      </c>
      <c r="I39" s="45">
        <v>164520.26300000001</v>
      </c>
      <c r="J39" s="46">
        <f t="shared" si="2"/>
        <v>1122866.551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26559.297999999999</v>
      </c>
      <c r="G40" s="45">
        <v>137546.30600000001</v>
      </c>
      <c r="H40" s="45">
        <v>0</v>
      </c>
      <c r="I40" s="45">
        <v>0</v>
      </c>
      <c r="J40" s="46">
        <f t="shared" si="2"/>
        <v>164105.60400000002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6110.0839999999998</v>
      </c>
      <c r="G41" s="45">
        <v>95034.375</v>
      </c>
      <c r="H41" s="45">
        <v>0</v>
      </c>
      <c r="I41" s="45">
        <v>7500</v>
      </c>
      <c r="J41" s="46">
        <f t="shared" si="2"/>
        <v>108644.459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1897.2449999999999</v>
      </c>
      <c r="G42" s="45">
        <v>13638.688</v>
      </c>
      <c r="H42" s="45">
        <v>0</v>
      </c>
      <c r="I42" s="45">
        <v>0</v>
      </c>
      <c r="J42" s="46">
        <f t="shared" si="2"/>
        <v>15535.933000000001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4851.6400000000003</v>
      </c>
      <c r="G43" s="45">
        <v>15920.679</v>
      </c>
      <c r="H43" s="45">
        <v>0</v>
      </c>
      <c r="I43" s="45">
        <v>0</v>
      </c>
      <c r="J43" s="46">
        <f t="shared" si="2"/>
        <v>20772.319</v>
      </c>
      <c r="K43" s="56" t="s">
        <v>301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38390.082000000002</v>
      </c>
      <c r="G44" s="83">
        <v>60327.502999999997</v>
      </c>
      <c r="H44" s="83">
        <v>0</v>
      </c>
      <c r="I44" s="83">
        <v>1500</v>
      </c>
      <c r="J44" s="46">
        <f t="shared" si="2"/>
        <v>100217.58499999999</v>
      </c>
      <c r="K44" s="56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1300</v>
      </c>
      <c r="G45" s="83">
        <v>10719.124</v>
      </c>
      <c r="H45" s="83">
        <v>0</v>
      </c>
      <c r="I45" s="83">
        <v>0</v>
      </c>
      <c r="J45" s="46">
        <f>SUM(F45:I45)</f>
        <v>12019.124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794.44600000000003</v>
      </c>
      <c r="G46" s="83">
        <v>24557.841</v>
      </c>
      <c r="H46" s="83">
        <v>0</v>
      </c>
      <c r="I46" s="83">
        <v>0</v>
      </c>
      <c r="J46" s="46">
        <f t="shared" si="2"/>
        <v>25352.287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983.78</v>
      </c>
      <c r="G47" s="83">
        <v>7335.0860000000002</v>
      </c>
      <c r="H47" s="83">
        <v>0</v>
      </c>
      <c r="I47" s="83">
        <v>0</v>
      </c>
      <c r="J47" s="46">
        <f t="shared" si="2"/>
        <v>8318.866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228727.98699999999</v>
      </c>
      <c r="G48" s="83">
        <v>475241.80300000001</v>
      </c>
      <c r="H48" s="83">
        <v>0</v>
      </c>
      <c r="I48" s="83">
        <v>251000</v>
      </c>
      <c r="J48" s="46">
        <f t="shared" si="2"/>
        <v>954969.79</v>
      </c>
      <c r="K48" s="56" t="s">
        <v>209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3172.7089999999998</v>
      </c>
      <c r="H49" s="83">
        <v>0</v>
      </c>
      <c r="I49" s="83">
        <v>0</v>
      </c>
      <c r="J49" s="46">
        <f t="shared" si="2"/>
        <v>3172.7089999999998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12994.507</v>
      </c>
      <c r="G50" s="83">
        <v>21538.02</v>
      </c>
      <c r="H50" s="83">
        <v>0</v>
      </c>
      <c r="I50" s="83">
        <v>0</v>
      </c>
      <c r="J50" s="46">
        <f t="shared" si="2"/>
        <v>34532.527000000002</v>
      </c>
      <c r="K50" s="56" t="s">
        <v>240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1800</v>
      </c>
      <c r="G51" s="83">
        <v>14678.288</v>
      </c>
      <c r="H51" s="83">
        <v>0</v>
      </c>
      <c r="I51" s="83">
        <v>0</v>
      </c>
      <c r="J51" s="46">
        <f t="shared" si="2"/>
        <v>16478.288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26649.162</v>
      </c>
      <c r="G52" s="83">
        <v>60465.23</v>
      </c>
      <c r="H52" s="83">
        <v>0</v>
      </c>
      <c r="I52" s="83">
        <v>4500</v>
      </c>
      <c r="J52" s="46">
        <f t="shared" si="2"/>
        <v>91614.392000000007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28071.205000000002</v>
      </c>
      <c r="H53" s="83">
        <v>0</v>
      </c>
      <c r="I53" s="83">
        <v>0</v>
      </c>
      <c r="J53" s="46">
        <f t="shared" si="2"/>
        <v>38571.205000000002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154" t="s">
        <v>283</v>
      </c>
      <c r="F54" s="133">
        <v>3000</v>
      </c>
      <c r="G54" s="133">
        <v>31400</v>
      </c>
      <c r="H54" s="133">
        <v>0</v>
      </c>
      <c r="I54" s="133">
        <v>80000</v>
      </c>
      <c r="J54" s="134">
        <f t="shared" si="2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61"/>
      <c r="G55" s="161"/>
      <c r="H55" s="161"/>
      <c r="I55" s="161"/>
      <c r="J55" s="61"/>
      <c r="K55" s="61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64000</v>
      </c>
      <c r="G56" s="22">
        <v>214000</v>
      </c>
      <c r="H56" s="22">
        <v>45000</v>
      </c>
      <c r="I56" s="22">
        <v>0</v>
      </c>
      <c r="J56" s="24">
        <f t="shared" ref="J56:J65" si="3">SUM(F56:I56)</f>
        <v>323000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795171.00699999998</v>
      </c>
      <c r="G57" s="22">
        <v>1863957.341</v>
      </c>
      <c r="H57" s="22">
        <v>0</v>
      </c>
      <c r="I57" s="22">
        <v>0</v>
      </c>
      <c r="J57" s="24">
        <f>SUM(F57:I57)</f>
        <v>2659128.3480000002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25334.07</v>
      </c>
      <c r="G58" s="22">
        <v>115126.989</v>
      </c>
      <c r="H58" s="22">
        <v>0</v>
      </c>
      <c r="I58" s="22">
        <v>0</v>
      </c>
      <c r="J58" s="24">
        <f t="shared" si="3"/>
        <v>140461.05900000001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43517.563999999998</v>
      </c>
      <c r="G59" s="22">
        <v>111449.74400000001</v>
      </c>
      <c r="H59" s="22">
        <v>17166.153999999999</v>
      </c>
      <c r="I59" s="22">
        <v>0</v>
      </c>
      <c r="J59" s="24">
        <f t="shared" si="3"/>
        <v>172133.46200000003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62000</v>
      </c>
      <c r="G60" s="22">
        <v>374000</v>
      </c>
      <c r="H60" s="22">
        <v>8000</v>
      </c>
      <c r="I60" s="22">
        <v>52000</v>
      </c>
      <c r="J60" s="24">
        <f t="shared" si="3"/>
        <v>496000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62183</v>
      </c>
      <c r="G61" s="45">
        <v>174853</v>
      </c>
      <c r="H61" s="45">
        <v>0</v>
      </c>
      <c r="I61" s="45">
        <v>0</v>
      </c>
      <c r="J61" s="46">
        <f>SUM(F61:I61)</f>
        <v>237036</v>
      </c>
      <c r="K61" s="45" t="s">
        <v>299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12429.779</v>
      </c>
      <c r="G62" s="22">
        <v>49952.800000000003</v>
      </c>
      <c r="H62" s="22">
        <v>0</v>
      </c>
      <c r="I62" s="22">
        <v>0</v>
      </c>
      <c r="J62" s="24">
        <f t="shared" si="3"/>
        <v>62382.579000000005</v>
      </c>
      <c r="K62" s="22" t="s">
        <v>287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513800</v>
      </c>
      <c r="G63" s="19">
        <v>1528593</v>
      </c>
      <c r="H63" s="19">
        <v>57102</v>
      </c>
      <c r="I63" s="19">
        <v>145509</v>
      </c>
      <c r="J63" s="24">
        <f t="shared" si="3"/>
        <v>2245004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6181.0320000000002</v>
      </c>
      <c r="G64" s="19">
        <v>18082.406999999999</v>
      </c>
      <c r="H64" s="19">
        <v>2250.1149999999998</v>
      </c>
      <c r="I64" s="9" t="s">
        <v>3</v>
      </c>
      <c r="J64" s="24">
        <f t="shared" si="3"/>
        <v>26513.553999999996</v>
      </c>
      <c r="K64" s="102"/>
    </row>
    <row r="65" spans="1:11" ht="13.9" x14ac:dyDescent="0.4">
      <c r="A65" s="39"/>
      <c r="B65" s="2" t="s">
        <v>118</v>
      </c>
      <c r="C65" s="13" t="s">
        <v>184</v>
      </c>
      <c r="D65" s="13"/>
      <c r="E65" s="2" t="s">
        <v>205</v>
      </c>
      <c r="F65" s="117">
        <f>'16'!F65</f>
        <v>700</v>
      </c>
      <c r="G65" s="117">
        <f>'16'!G65</f>
        <v>19095</v>
      </c>
      <c r="H65" s="117">
        <f>'16'!H65</f>
        <v>400</v>
      </c>
      <c r="I65" s="117">
        <f>'16'!I65</f>
        <v>0</v>
      </c>
      <c r="J65" s="121">
        <f t="shared" si="3"/>
        <v>20195</v>
      </c>
      <c r="K65" s="120" t="s">
        <v>251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166760.98000000001</v>
      </c>
      <c r="G66" s="22">
        <v>219480.42800000001</v>
      </c>
      <c r="H66" s="22">
        <v>7543.643</v>
      </c>
      <c r="I66" s="19">
        <v>46195.307000000001</v>
      </c>
      <c r="J66" s="24">
        <f>SUM(F66:I66)</f>
        <v>439980.35800000001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48725.919000000002</v>
      </c>
      <c r="G67" s="22">
        <v>111782.084</v>
      </c>
      <c r="H67" s="22">
        <v>0</v>
      </c>
      <c r="I67" s="22">
        <v>116328.715</v>
      </c>
      <c r="J67" s="24">
        <f t="shared" ref="J67" si="4">SUM(F67:I67)</f>
        <v>276836.71799999999</v>
      </c>
      <c r="K67" s="24"/>
    </row>
    <row r="68" spans="1:11" ht="13.9" x14ac:dyDescent="0.4">
      <c r="A68" s="39"/>
      <c r="B68" s="2" t="s">
        <v>291</v>
      </c>
      <c r="C68" s="13"/>
      <c r="D68" s="13"/>
      <c r="E68" s="2"/>
      <c r="F68" s="22"/>
      <c r="G68" s="22"/>
      <c r="H68" s="22"/>
      <c r="I68" s="22"/>
      <c r="J68" s="24"/>
      <c r="K68" s="24"/>
    </row>
    <row r="69" spans="1:11" ht="13.9" x14ac:dyDescent="0.4">
      <c r="A69" s="39"/>
      <c r="B69" s="23" t="s">
        <v>120</v>
      </c>
      <c r="C69" s="69" t="s">
        <v>184</v>
      </c>
      <c r="D69" s="69"/>
      <c r="E69" s="23" t="s">
        <v>66</v>
      </c>
      <c r="F69" s="22">
        <v>19016.064999999999</v>
      </c>
      <c r="G69" s="22">
        <v>52172.781000000003</v>
      </c>
      <c r="H69" s="22">
        <v>4158.5780000000004</v>
      </c>
      <c r="I69" s="22">
        <v>0</v>
      </c>
      <c r="J69" s="24">
        <f>SUM(F69:I69)</f>
        <v>75347.423999999999</v>
      </c>
      <c r="K69" s="33"/>
    </row>
    <row r="70" spans="1:11" ht="13.9" x14ac:dyDescent="0.4">
      <c r="A70" s="39"/>
      <c r="B70" s="56" t="s">
        <v>161</v>
      </c>
      <c r="C70" s="53"/>
      <c r="D70" s="53"/>
      <c r="E70" s="56" t="s">
        <v>160</v>
      </c>
      <c r="F70" s="83">
        <v>30199.465830000001</v>
      </c>
      <c r="G70" s="83">
        <v>63523.364119999998</v>
      </c>
      <c r="H70" s="83">
        <f>'16'!H70</f>
        <v>0</v>
      </c>
      <c r="I70" s="83">
        <f>'16'!I70</f>
        <v>0</v>
      </c>
      <c r="J70" s="46">
        <f>SUM(F70:I70)</f>
        <v>93722.829949999999</v>
      </c>
      <c r="K70" s="120"/>
    </row>
    <row r="71" spans="1:11" ht="13.9" x14ac:dyDescent="0.4">
      <c r="A71" s="39"/>
      <c r="B71" s="23" t="s">
        <v>121</v>
      </c>
      <c r="C71" s="69" t="s">
        <v>184</v>
      </c>
      <c r="D71" s="69"/>
      <c r="E71" s="23" t="s">
        <v>67</v>
      </c>
      <c r="F71" s="22">
        <v>637170</v>
      </c>
      <c r="G71" s="22">
        <v>243100</v>
      </c>
      <c r="H71" s="22" t="s">
        <v>16</v>
      </c>
      <c r="I71" s="9" t="s">
        <v>3</v>
      </c>
      <c r="J71" s="24">
        <f>SUM(F71:I71)</f>
        <v>880270</v>
      </c>
      <c r="K71" s="22" t="s">
        <v>298</v>
      </c>
    </row>
    <row r="72" spans="1:11" ht="13.9" x14ac:dyDescent="0.4">
      <c r="A72" s="39"/>
      <c r="B72" s="23" t="s">
        <v>162</v>
      </c>
      <c r="C72" s="69"/>
      <c r="D72" s="69"/>
      <c r="E72" s="23" t="s">
        <v>182</v>
      </c>
      <c r="F72" s="22">
        <v>13735.84482</v>
      </c>
      <c r="G72" s="22">
        <v>166554.42647999999</v>
      </c>
      <c r="H72" s="22">
        <v>0</v>
      </c>
      <c r="I72" s="22">
        <v>0</v>
      </c>
      <c r="J72" s="24">
        <f>SUM(F72:I72)</f>
        <v>180290.27129999999</v>
      </c>
      <c r="K72" s="45"/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91715.437999999995</v>
      </c>
      <c r="G73" s="83">
        <v>109150.056</v>
      </c>
      <c r="H73" s="83">
        <f>'16'!H73</f>
        <v>0</v>
      </c>
      <c r="I73" s="83">
        <f>'16'!I73</f>
        <v>0</v>
      </c>
      <c r="J73" s="46">
        <f>SUM(F73:I73)</f>
        <v>200865.49400000001</v>
      </c>
      <c r="K73" s="45"/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62"/>
      <c r="G74" s="162"/>
      <c r="H74" s="162"/>
      <c r="I74" s="162"/>
      <c r="J74" s="60"/>
      <c r="K74" s="60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310.85500000000002</v>
      </c>
      <c r="G75" s="19">
        <v>469.87299999999999</v>
      </c>
      <c r="H75" s="19">
        <v>121.97499999999999</v>
      </c>
      <c r="I75" s="19">
        <v>0</v>
      </c>
      <c r="J75" s="24">
        <f>SUM(F75:I75)</f>
        <v>902.70300000000009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152852</v>
      </c>
      <c r="H76" s="19">
        <v>0</v>
      </c>
      <c r="I76" s="19">
        <v>0</v>
      </c>
      <c r="J76" s="24">
        <f>SUM(F76:I76)</f>
        <v>152852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22" t="s">
        <v>3</v>
      </c>
      <c r="G77" s="122" t="s">
        <v>3</v>
      </c>
      <c r="H77" s="122" t="s">
        <v>3</v>
      </c>
      <c r="I77" s="122" t="s">
        <v>3</v>
      </c>
      <c r="J77" s="121">
        <f>'15'!J77*(1-0.05)</f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71079.771999999997</v>
      </c>
      <c r="G78" s="22">
        <v>308775.06</v>
      </c>
      <c r="H78" s="22">
        <v>0</v>
      </c>
      <c r="I78" s="22">
        <v>0</v>
      </c>
      <c r="J78" s="24">
        <f>SUM(F78:I78)</f>
        <v>379854.83199999999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117">
        <v>4404.835</v>
      </c>
      <c r="G79" s="117">
        <v>11177.579</v>
      </c>
      <c r="H79" s="117">
        <v>776.52700000000004</v>
      </c>
      <c r="I79" s="117">
        <v>0</v>
      </c>
      <c r="J79" s="121">
        <f>SUM(F79:I79)</f>
        <v>16358.941000000001</v>
      </c>
      <c r="K79" s="120" t="s">
        <v>251</v>
      </c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22573.504000000001</v>
      </c>
      <c r="G80" s="19">
        <v>5011.7539999999999</v>
      </c>
      <c r="H80" s="19">
        <v>7593.1949999999997</v>
      </c>
      <c r="I80" s="19">
        <v>141.703</v>
      </c>
      <c r="J80" s="24">
        <f>SUM(F80:I80)</f>
        <v>35320.156000000003</v>
      </c>
      <c r="K80" s="102"/>
    </row>
    <row r="81" spans="1:11" ht="13.9" x14ac:dyDescent="0.4">
      <c r="A81" s="40"/>
      <c r="B81" s="23" t="s">
        <v>125</v>
      </c>
      <c r="C81" s="69" t="s">
        <v>184</v>
      </c>
      <c r="D81" s="69"/>
      <c r="E81" s="23" t="s">
        <v>73</v>
      </c>
      <c r="F81" s="22">
        <v>15390.578</v>
      </c>
      <c r="G81" s="22">
        <v>3284.4360000000001</v>
      </c>
      <c r="H81" s="22">
        <v>0</v>
      </c>
      <c r="I81" s="22">
        <v>0</v>
      </c>
      <c r="J81" s="24">
        <f>SUM(F81:I81)</f>
        <v>18675.013999999999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117">
        <f>'16'!F82</f>
        <v>500</v>
      </c>
      <c r="G82" s="117">
        <f>'16'!G82</f>
        <v>25650</v>
      </c>
      <c r="H82" s="117">
        <v>800</v>
      </c>
      <c r="I82" s="117">
        <v>0</v>
      </c>
      <c r="J82" s="121">
        <f>SUM(F82:I82)</f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122" t="s">
        <v>26</v>
      </c>
      <c r="G83" s="158" t="s">
        <v>3</v>
      </c>
      <c r="H83" s="158" t="s">
        <v>3</v>
      </c>
      <c r="I83" s="158" t="s">
        <v>3</v>
      </c>
      <c r="J83" s="24">
        <f t="shared" ref="J83:J87" si="5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55098.582000000002</v>
      </c>
      <c r="H84" s="19">
        <v>0</v>
      </c>
      <c r="I84" s="19">
        <v>0</v>
      </c>
      <c r="J84" s="24">
        <f t="shared" si="5"/>
        <v>55098.582000000002</v>
      </c>
      <c r="K84" s="8" t="s">
        <v>269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287088.93599999999</v>
      </c>
      <c r="G85" s="22">
        <v>760079.76199999999</v>
      </c>
      <c r="H85" s="22">
        <v>0</v>
      </c>
      <c r="I85" s="22">
        <v>0</v>
      </c>
      <c r="J85" s="24">
        <f t="shared" si="5"/>
        <v>1047168.698</v>
      </c>
      <c r="K85" s="22" t="s">
        <v>296</v>
      </c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112444</v>
      </c>
      <c r="G86" s="22">
        <v>1181577</v>
      </c>
      <c r="H86" s="22">
        <v>0</v>
      </c>
      <c r="I86" s="22">
        <v>0</v>
      </c>
      <c r="J86" s="24">
        <f t="shared" si="5"/>
        <v>1294021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12871.14831</v>
      </c>
      <c r="G87" s="22">
        <v>26204.743480000001</v>
      </c>
      <c r="H87" s="22">
        <v>5991.2952599999999</v>
      </c>
      <c r="I87" s="22">
        <v>0</v>
      </c>
      <c r="J87" s="24">
        <f t="shared" si="5"/>
        <v>45067.18705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22" t="s">
        <v>3</v>
      </c>
      <c r="G88" s="122" t="s">
        <v>3</v>
      </c>
      <c r="H88" s="122" t="s">
        <v>3</v>
      </c>
      <c r="I88" s="122" t="s">
        <v>3</v>
      </c>
      <c r="J88" s="121">
        <f>'16'!J88</f>
        <v>10925</v>
      </c>
      <c r="K88" s="120" t="s">
        <v>251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117">
        <f>'16'!F89</f>
        <v>9100</v>
      </c>
      <c r="G89" s="117">
        <f>'16'!G89</f>
        <v>19000</v>
      </c>
      <c r="H89" s="117">
        <v>0</v>
      </c>
      <c r="I89" s="117">
        <v>0</v>
      </c>
      <c r="J89" s="121">
        <f>'16'!J89</f>
        <v>28100</v>
      </c>
      <c r="K89" s="120" t="s">
        <v>251</v>
      </c>
    </row>
    <row r="90" spans="1:11" ht="13.9" x14ac:dyDescent="0.4">
      <c r="A90" s="40"/>
      <c r="B90" s="23" t="s">
        <v>19</v>
      </c>
      <c r="C90" s="69" t="s">
        <v>184</v>
      </c>
      <c r="D90" s="69"/>
      <c r="E90" s="23" t="s">
        <v>82</v>
      </c>
      <c r="F90" s="22">
        <v>260011.88</v>
      </c>
      <c r="G90" s="22">
        <v>369652.48700000002</v>
      </c>
      <c r="H90" s="22">
        <v>7788.1459999999997</v>
      </c>
      <c r="I90" s="22">
        <v>84352.164999999994</v>
      </c>
      <c r="J90" s="24">
        <f t="shared" ref="J90:J100" si="6">SUM(F90:I90)</f>
        <v>721804.67800000007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194000</v>
      </c>
      <c r="G91" s="22">
        <v>329000</v>
      </c>
      <c r="H91" s="22">
        <v>0</v>
      </c>
      <c r="I91" s="19">
        <v>0</v>
      </c>
      <c r="J91" s="24">
        <f t="shared" si="6"/>
        <v>523000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816300</v>
      </c>
      <c r="G92" s="22">
        <v>39800</v>
      </c>
      <c r="H92" s="22">
        <v>0</v>
      </c>
      <c r="I92" s="19">
        <v>90800</v>
      </c>
      <c r="J92" s="24">
        <f t="shared" si="6"/>
        <v>946900</v>
      </c>
      <c r="K92" s="101" t="s">
        <v>239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15947.831</v>
      </c>
      <c r="G93" s="22">
        <v>102306.86900000001</v>
      </c>
      <c r="H93" s="22">
        <v>4180.3530000000001</v>
      </c>
      <c r="I93" s="22">
        <v>18999.627</v>
      </c>
      <c r="J93" s="24">
        <f t="shared" si="6"/>
        <v>141434.68000000002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45">
        <v>14834</v>
      </c>
      <c r="G94" s="45">
        <v>29796</v>
      </c>
      <c r="H94" s="83">
        <v>2227</v>
      </c>
      <c r="I94" s="45">
        <v>0</v>
      </c>
      <c r="J94" s="46">
        <f t="shared" si="6"/>
        <v>46857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117">
        <v>0</v>
      </c>
      <c r="G95" s="117">
        <v>0</v>
      </c>
      <c r="H95" s="117">
        <v>0</v>
      </c>
      <c r="I95" s="117">
        <v>0</v>
      </c>
      <c r="J95" s="121">
        <f t="shared" si="6"/>
        <v>0</v>
      </c>
      <c r="K95" s="120" t="s">
        <v>251</v>
      </c>
    </row>
    <row r="96" spans="1:11" ht="13.9" x14ac:dyDescent="0.4">
      <c r="A96" s="40"/>
      <c r="B96" s="23" t="s">
        <v>24</v>
      </c>
      <c r="C96" s="69" t="s">
        <v>184</v>
      </c>
      <c r="D96" s="69"/>
      <c r="E96" s="23" t="s">
        <v>178</v>
      </c>
      <c r="F96" s="22">
        <v>75619.256999999998</v>
      </c>
      <c r="G96" s="22">
        <v>349147.65700000001</v>
      </c>
      <c r="H96" s="22">
        <v>44614.345999999998</v>
      </c>
      <c r="I96" s="22" t="str">
        <f>'16'!I96</f>
        <v>not available</v>
      </c>
      <c r="J96" s="24">
        <f t="shared" si="6"/>
        <v>469381.26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1226.6310599999999</v>
      </c>
      <c r="G97" s="22">
        <v>14467.732550000001</v>
      </c>
      <c r="H97" s="22">
        <v>1855.2413449999999</v>
      </c>
      <c r="I97" s="22">
        <v>0</v>
      </c>
      <c r="J97" s="24">
        <f t="shared" si="6"/>
        <v>17549.604954999999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121844.86594</v>
      </c>
      <c r="G98" s="22">
        <v>231305.90663000001</v>
      </c>
      <c r="H98" s="22">
        <v>15388.051880000001</v>
      </c>
      <c r="I98" s="22">
        <v>0</v>
      </c>
      <c r="J98" s="24">
        <f t="shared" si="6"/>
        <v>368538.82445000001</v>
      </c>
      <c r="K98" s="102"/>
    </row>
    <row r="99" spans="1:11" ht="13.9" x14ac:dyDescent="0.4">
      <c r="A99" s="40"/>
      <c r="B99" s="23" t="s">
        <v>137</v>
      </c>
      <c r="C99" s="69" t="s">
        <v>184</v>
      </c>
      <c r="D99" s="69"/>
      <c r="E99" s="23" t="s">
        <v>90</v>
      </c>
      <c r="F99" s="22">
        <v>26963.280999999999</v>
      </c>
      <c r="G99" s="22">
        <f>93810.391+32336.151</f>
        <v>126146.542</v>
      </c>
      <c r="H99" s="22">
        <v>0</v>
      </c>
      <c r="I99" s="19">
        <v>0</v>
      </c>
      <c r="J99" s="24">
        <f t="shared" si="6"/>
        <v>153109.823</v>
      </c>
      <c r="K99" s="22" t="s">
        <v>313</v>
      </c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245000</v>
      </c>
      <c r="H100" s="19">
        <v>0</v>
      </c>
      <c r="I100" s="19">
        <v>0</v>
      </c>
      <c r="J100" s="24">
        <f t="shared" si="6"/>
        <v>246000</v>
      </c>
      <c r="K100" s="163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69455.981</v>
      </c>
      <c r="G101" s="19">
        <v>159777.481</v>
      </c>
      <c r="H101" s="19">
        <v>7537.9049999999997</v>
      </c>
      <c r="I101" s="19">
        <v>0</v>
      </c>
      <c r="J101" s="24">
        <f>SUM(F101:I101)</f>
        <v>236771.367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117">
        <f>'16'!F102</f>
        <v>1500</v>
      </c>
      <c r="G102" s="117">
        <f>'16'!G102</f>
        <v>183350</v>
      </c>
      <c r="H102" s="117">
        <f>'16'!H102</f>
        <v>300</v>
      </c>
      <c r="I102" s="117">
        <f>'16'!I102</f>
        <v>0</v>
      </c>
      <c r="J102" s="121">
        <f>'16'!J102</f>
        <v>185150</v>
      </c>
      <c r="K102" s="120" t="s">
        <v>251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347972.55300000001</v>
      </c>
      <c r="G103" s="22">
        <v>457271.027</v>
      </c>
      <c r="H103" s="22">
        <v>356656.12199999997</v>
      </c>
      <c r="I103" s="22">
        <v>591088.89300000004</v>
      </c>
      <c r="J103" s="24">
        <f>SUM(F103:I103)</f>
        <v>1752988.5950000002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772765.58900000004</v>
      </c>
      <c r="G104" s="22">
        <v>1170478.389</v>
      </c>
      <c r="H104" s="22">
        <v>960174.45700000005</v>
      </c>
      <c r="I104" s="22">
        <v>1501157.4720000001</v>
      </c>
      <c r="J104" s="24">
        <f>SUM(F104:I104)</f>
        <v>4404575.9069999997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62"/>
      <c r="G105" s="162"/>
      <c r="H105" s="162"/>
      <c r="I105" s="162"/>
      <c r="J105" s="60"/>
      <c r="K105" s="60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22990</v>
      </c>
      <c r="H106" s="68" t="s">
        <v>3</v>
      </c>
      <c r="I106" s="68" t="s">
        <v>3</v>
      </c>
      <c r="J106" s="46">
        <f>SUM(F106:I106)</f>
        <v>22990</v>
      </c>
      <c r="K106" s="45" t="s">
        <v>293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68" t="s">
        <v>3</v>
      </c>
      <c r="G107" s="68" t="s">
        <v>3</v>
      </c>
      <c r="H107" s="68" t="s">
        <v>3</v>
      </c>
      <c r="I107" s="68" t="s">
        <v>3</v>
      </c>
      <c r="J107" s="46">
        <v>12260</v>
      </c>
      <c r="K107" s="45" t="s">
        <v>295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25120</v>
      </c>
      <c r="H108" s="68" t="s">
        <v>3</v>
      </c>
      <c r="I108" s="68" t="s">
        <v>3</v>
      </c>
      <c r="J108" s="46">
        <f>SUM(F108:I108)</f>
        <v>25120</v>
      </c>
      <c r="K108" s="45" t="s">
        <v>293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68" t="s">
        <v>3</v>
      </c>
      <c r="H109" s="68" t="s">
        <v>3</v>
      </c>
      <c r="I109" s="68" t="s">
        <v>3</v>
      </c>
      <c r="J109" s="46">
        <v>55970</v>
      </c>
      <c r="K109" s="45" t="s">
        <v>293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158">
        <v>0</v>
      </c>
      <c r="G110" s="158">
        <v>37000</v>
      </c>
      <c r="H110" s="158">
        <v>0</v>
      </c>
      <c r="I110" s="158">
        <v>0</v>
      </c>
      <c r="J110" s="121">
        <f t="shared" ref="J110:J118" si="7">SUM(F110:I110)</f>
        <v>37000</v>
      </c>
      <c r="K110" s="120" t="s">
        <v>251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22">
        <v>2900</v>
      </c>
      <c r="G111" s="158">
        <v>13000</v>
      </c>
      <c r="H111" s="122" t="s">
        <v>3</v>
      </c>
      <c r="I111" s="122" t="s">
        <v>3</v>
      </c>
      <c r="J111" s="121">
        <f>SUM(F111:I111)</f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68" t="s">
        <v>3</v>
      </c>
      <c r="H112" s="68" t="s">
        <v>3</v>
      </c>
      <c r="I112" s="68" t="s">
        <v>3</v>
      </c>
      <c r="J112" s="46">
        <v>34460</v>
      </c>
      <c r="K112" s="45" t="s">
        <v>294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1890</v>
      </c>
      <c r="H113" s="68" t="s">
        <v>3</v>
      </c>
      <c r="I113" s="68" t="s">
        <v>3</v>
      </c>
      <c r="J113" s="46">
        <f t="shared" si="7"/>
        <v>1890</v>
      </c>
      <c r="K113" s="45" t="s">
        <v>293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22" t="s">
        <v>3</v>
      </c>
      <c r="G114" s="158">
        <v>300000</v>
      </c>
      <c r="H114" s="122" t="s">
        <v>3</v>
      </c>
      <c r="I114" s="122" t="s">
        <v>3</v>
      </c>
      <c r="J114" s="121">
        <f t="shared" si="7"/>
        <v>300000</v>
      </c>
      <c r="K114" s="120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216560</v>
      </c>
      <c r="H115" s="68" t="s">
        <v>3</v>
      </c>
      <c r="I115" s="68" t="s">
        <v>3</v>
      </c>
      <c r="J115" s="46">
        <f t="shared" si="7"/>
        <v>216560</v>
      </c>
      <c r="K115" s="45" t="s">
        <v>293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158">
        <v>19000</v>
      </c>
      <c r="G116" s="158">
        <v>21000</v>
      </c>
      <c r="H116" s="122" t="s">
        <v>3</v>
      </c>
      <c r="I116" s="122" t="s">
        <v>3</v>
      </c>
      <c r="J116" s="121">
        <f t="shared" si="7"/>
        <v>40000</v>
      </c>
      <c r="K116" s="120" t="s">
        <v>251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9" t="s">
        <v>3</v>
      </c>
      <c r="G117" s="19">
        <v>405840</v>
      </c>
      <c r="H117" s="9" t="s">
        <v>3</v>
      </c>
      <c r="I117" s="9" t="s">
        <v>3</v>
      </c>
      <c r="J117" s="24">
        <f t="shared" si="7"/>
        <v>405840</v>
      </c>
      <c r="K117" s="22" t="s">
        <v>293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68" t="s">
        <v>3</v>
      </c>
      <c r="G118" s="83">
        <v>4570</v>
      </c>
      <c r="H118" s="68" t="s">
        <v>3</v>
      </c>
      <c r="I118" s="68" t="s">
        <v>3</v>
      </c>
      <c r="J118" s="46">
        <f t="shared" si="7"/>
        <v>4570</v>
      </c>
      <c r="K118" s="45" t="s">
        <v>293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6641518.2121000011</v>
      </c>
      <c r="G120" s="21">
        <f>SUM(G10:G119)</f>
        <v>16187118.234630005</v>
      </c>
      <c r="H120" s="21">
        <f>SUM(H10:H119)</f>
        <v>1979624.155485</v>
      </c>
      <c r="I120" s="21">
        <f>SUM(I10:I119)</f>
        <v>3350334.3998100003</v>
      </c>
      <c r="J120" s="67">
        <f>SUM(J10:J119)</f>
        <v>28286210.002025001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8621142.3675850015</v>
      </c>
      <c r="G121" s="8"/>
      <c r="H121" s="8"/>
      <c r="I121" s="35"/>
      <c r="J121" s="22">
        <f>SUM(F120:I120)</f>
        <v>28158595.002025008</v>
      </c>
      <c r="K121" s="1">
        <f>J120-J121</f>
        <v>127614.99999999255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6660119.7121000011</v>
      </c>
      <c r="G123" s="86">
        <f>G120+G129</f>
        <v>16354531.734630005</v>
      </c>
      <c r="H123" s="86">
        <f>H120</f>
        <v>1979624.155485</v>
      </c>
      <c r="I123" s="86">
        <f>I120</f>
        <v>3350334.3998100003</v>
      </c>
      <c r="J123" s="86">
        <f>SUM(F123:I123)</f>
        <v>28344610.002025008</v>
      </c>
      <c r="K123" s="6">
        <f>J123-J120</f>
        <v>58400.000000007451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8639743.8675850015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0.23496953077231211</v>
      </c>
      <c r="G125" s="29">
        <f>G123/$J123</f>
        <v>0.57698912539144476</v>
      </c>
      <c r="H125" s="29">
        <f>H123/$J123</f>
        <v>6.9841291001836711E-2</v>
      </c>
      <c r="I125" s="29">
        <f>I123/$J123</f>
        <v>0.1182000528344064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0.99999999999999989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18601.5</v>
      </c>
      <c r="G129" s="7">
        <f>0.9*$J139</f>
        <v>167413.5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8">0.1*$J132</f>
        <v>5340</v>
      </c>
      <c r="G132" s="7">
        <f>0.9*$J132</f>
        <v>48060</v>
      </c>
      <c r="H132" s="7">
        <v>0</v>
      </c>
      <c r="I132" s="7">
        <v>0</v>
      </c>
      <c r="J132" s="7">
        <f>J10</f>
        <v>53400</v>
      </c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8"/>
        <v>0</v>
      </c>
      <c r="G133" s="7">
        <f t="shared" ref="G133:G136" si="9">0.9*$J133</f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8"/>
        <v>0</v>
      </c>
      <c r="G134" s="7">
        <f t="shared" si="9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8"/>
        <v>0</v>
      </c>
      <c r="G135" s="7">
        <f t="shared" si="9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 t="shared" si="8"/>
        <v>2992.5</v>
      </c>
      <c r="G136" s="7">
        <f t="shared" si="9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8"/>
        <v>10269</v>
      </c>
      <c r="G137" s="7">
        <f>0.9*$J137</f>
        <v>92421</v>
      </c>
      <c r="H137" s="7">
        <v>0</v>
      </c>
      <c r="I137" s="7">
        <v>0</v>
      </c>
      <c r="J137" s="79">
        <f>J107+J109+J112</f>
        <v>102690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186015</v>
      </c>
      <c r="K139" s="3" t="s">
        <v>175</v>
      </c>
    </row>
  </sheetData>
  <phoneticPr fontId="2" type="noConversion"/>
  <pageMargins left="0.7" right="0.7" top="0.75" bottom="0.75" header="0.3" footer="0.3"/>
  <pageSetup paperSize="9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D225-2490-4037-9F78-23586013D3AF}">
  <dimension ref="A1:K139"/>
  <sheetViews>
    <sheetView topLeftCell="A53" zoomScale="60" zoomScaleNormal="60" workbookViewId="0">
      <pane xSplit="2" topLeftCell="C1" activePane="topRight" state="frozen"/>
      <selection activeCell="A30" sqref="A30"/>
      <selection pane="topRight" activeCell="F106" sqref="F106:J118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285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7455890.2210200001</v>
      </c>
      <c r="G4" s="17">
        <f t="shared" ref="G4:I4" si="0">SUBTOTAL(9,G9:G118)</f>
        <v>17516337.553070001</v>
      </c>
      <c r="H4" s="17">
        <f t="shared" si="0"/>
        <v>2286472.1908600004</v>
      </c>
      <c r="I4" s="17">
        <f t="shared" si="0"/>
        <v>3648875.575003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164" t="s">
        <v>46</v>
      </c>
      <c r="C10" s="58"/>
      <c r="D10" s="76" t="s">
        <v>165</v>
      </c>
      <c r="E10" s="56" t="s">
        <v>169</v>
      </c>
      <c r="F10" s="126" t="s">
        <v>3</v>
      </c>
      <c r="G10" s="127">
        <v>53400</v>
      </c>
      <c r="H10" s="126" t="s">
        <v>3</v>
      </c>
      <c r="I10" s="126" t="s">
        <v>3</v>
      </c>
      <c r="J10" s="34">
        <f>SUM(F10:I10)</f>
        <v>53400</v>
      </c>
      <c r="K10" s="33" t="s">
        <v>289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1235</v>
      </c>
      <c r="H11" s="83">
        <v>0</v>
      </c>
      <c r="I11" s="83">
        <v>0</v>
      </c>
      <c r="J11" s="46">
        <f t="shared" ref="J11:J30" si="1">SUM(F11:I11)</f>
        <v>1235</v>
      </c>
      <c r="K11" s="45"/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1263</v>
      </c>
      <c r="H12" s="83">
        <v>0</v>
      </c>
      <c r="I12" s="83">
        <v>0</v>
      </c>
      <c r="J12" s="46">
        <f t="shared" si="1"/>
        <v>1263</v>
      </c>
      <c r="K12" s="45"/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83">
        <v>0</v>
      </c>
      <c r="G13" s="83">
        <v>2144</v>
      </c>
      <c r="H13" s="83">
        <v>0</v>
      </c>
      <c r="I13" s="83">
        <v>0</v>
      </c>
      <c r="J13" s="46">
        <f t="shared" si="1"/>
        <v>2144</v>
      </c>
      <c r="K13" s="45" t="s">
        <v>284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83">
        <v>23845</v>
      </c>
      <c r="H14" s="83">
        <v>0</v>
      </c>
      <c r="I14" s="83">
        <v>0</v>
      </c>
      <c r="J14" s="46">
        <f t="shared" si="1"/>
        <v>23845</v>
      </c>
      <c r="K14" s="45"/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83">
        <v>73</v>
      </c>
      <c r="H15" s="83">
        <v>0</v>
      </c>
      <c r="I15" s="83">
        <v>0</v>
      </c>
      <c r="J15" s="46">
        <f t="shared" si="1"/>
        <v>73</v>
      </c>
      <c r="K15" s="45"/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1198</v>
      </c>
      <c r="H16" s="56">
        <v>0</v>
      </c>
      <c r="I16" s="56">
        <v>0</v>
      </c>
      <c r="J16" s="46">
        <f t="shared" si="1"/>
        <v>1198</v>
      </c>
      <c r="K16" s="45"/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12593</v>
      </c>
      <c r="H17" s="56">
        <v>0</v>
      </c>
      <c r="I17" s="56">
        <v>0</v>
      </c>
      <c r="J17" s="46">
        <f t="shared" si="1"/>
        <v>12593</v>
      </c>
      <c r="K17" s="45"/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20654.900000000001</v>
      </c>
      <c r="G18" s="19">
        <v>46123.4</v>
      </c>
      <c r="H18" s="19">
        <v>0</v>
      </c>
      <c r="I18" s="19">
        <v>90027.8</v>
      </c>
      <c r="J18" s="24">
        <f t="shared" si="1"/>
        <v>156806.1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20276</v>
      </c>
      <c r="H19" s="83">
        <v>0</v>
      </c>
      <c r="I19" s="83">
        <v>0</v>
      </c>
      <c r="J19" s="46">
        <f t="shared" si="1"/>
        <v>20276</v>
      </c>
      <c r="K19" s="45"/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1864</v>
      </c>
      <c r="H20" s="83">
        <v>0</v>
      </c>
      <c r="I20" s="83">
        <v>0</v>
      </c>
      <c r="J20" s="46">
        <f t="shared" si="1"/>
        <v>1864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33">
        <v>0</v>
      </c>
      <c r="G21" s="33">
        <v>90000</v>
      </c>
      <c r="H21" s="33">
        <v>0</v>
      </c>
      <c r="I21" s="33">
        <v>0</v>
      </c>
      <c r="J21" s="34">
        <f>'17'!J21</f>
        <v>85000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3062</v>
      </c>
      <c r="H22" s="45">
        <v>0</v>
      </c>
      <c r="I22" s="45">
        <v>0</v>
      </c>
      <c r="J22" s="46">
        <f t="shared" si="1"/>
        <v>3062</v>
      </c>
      <c r="K22" s="45"/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17902.90193</v>
      </c>
      <c r="G23" s="22">
        <f>37402.5519+8969.16636</f>
        <v>46371.718259999994</v>
      </c>
      <c r="H23" s="22">
        <f>163.39142</f>
        <v>163.39142000000001</v>
      </c>
      <c r="I23" s="22">
        <v>0</v>
      </c>
      <c r="J23" s="24">
        <f t="shared" si="1"/>
        <v>64438.011609999994</v>
      </c>
      <c r="K23" s="2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1283</v>
      </c>
      <c r="H24" s="45">
        <v>0</v>
      </c>
      <c r="I24" s="45">
        <v>0</v>
      </c>
      <c r="J24" s="46">
        <f t="shared" si="1"/>
        <v>1283</v>
      </c>
      <c r="K24" s="45"/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5117.5637699999997</v>
      </c>
      <c r="G25" s="22">
        <v>25587.818889999999</v>
      </c>
      <c r="H25" s="19">
        <v>3411.70919</v>
      </c>
      <c r="I25" s="19">
        <v>85870.727003000007</v>
      </c>
      <c r="J25" s="24">
        <f t="shared" si="1"/>
        <v>119987.818853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16481</v>
      </c>
      <c r="H26" s="83">
        <v>0</v>
      </c>
      <c r="I26" s="83">
        <v>0</v>
      </c>
      <c r="J26" s="46">
        <f t="shared" si="1"/>
        <v>16481</v>
      </c>
      <c r="K26" s="45"/>
    </row>
    <row r="27" spans="1:11" s="66" customFormat="1" ht="13.9" x14ac:dyDescent="0.4">
      <c r="A27" s="64"/>
      <c r="B27" s="23" t="s">
        <v>106</v>
      </c>
      <c r="C27" s="69" t="s">
        <v>184</v>
      </c>
      <c r="D27" s="69"/>
      <c r="E27" s="23" t="s">
        <v>55</v>
      </c>
      <c r="F27" s="22">
        <v>12173.5</v>
      </c>
      <c r="G27" s="19">
        <v>109725</v>
      </c>
      <c r="H27" s="19">
        <v>1837.5</v>
      </c>
      <c r="I27" s="19">
        <v>0</v>
      </c>
      <c r="J27" s="24">
        <f t="shared" si="1"/>
        <v>123736</v>
      </c>
      <c r="K27" s="80"/>
    </row>
    <row r="28" spans="1:11" s="66" customFormat="1" ht="13.9" x14ac:dyDescent="0.4">
      <c r="A28" s="64"/>
      <c r="B28" s="72" t="s">
        <v>217</v>
      </c>
      <c r="C28" s="76"/>
      <c r="D28" s="71" t="s">
        <v>165</v>
      </c>
      <c r="E28" s="72" t="s">
        <v>169</v>
      </c>
      <c r="F28" s="165" t="s">
        <v>3</v>
      </c>
      <c r="G28" s="165">
        <v>12700</v>
      </c>
      <c r="H28" s="165" t="s">
        <v>3</v>
      </c>
      <c r="I28" s="165" t="s">
        <v>3</v>
      </c>
      <c r="J28" s="34">
        <f>SUM(F28:I28)</f>
        <v>12700</v>
      </c>
      <c r="K28" s="120" t="s">
        <v>251</v>
      </c>
    </row>
    <row r="29" spans="1:11" s="66" customFormat="1" ht="13.9" x14ac:dyDescent="0.4">
      <c r="A29" s="64"/>
      <c r="B29" s="72" t="s">
        <v>197</v>
      </c>
      <c r="C29" s="76"/>
      <c r="D29" s="71" t="s">
        <v>186</v>
      </c>
      <c r="E29" s="72" t="s">
        <v>187</v>
      </c>
      <c r="F29" s="45">
        <v>0</v>
      </c>
      <c r="G29" s="83">
        <v>573</v>
      </c>
      <c r="H29" s="45">
        <v>0</v>
      </c>
      <c r="I29" s="45">
        <v>0</v>
      </c>
      <c r="J29" s="147">
        <f t="shared" si="1"/>
        <v>573</v>
      </c>
      <c r="K29" s="45"/>
    </row>
    <row r="30" spans="1:11" s="66" customFormat="1" ht="13.9" x14ac:dyDescent="0.4">
      <c r="A30" s="64"/>
      <c r="B30" s="72" t="s">
        <v>198</v>
      </c>
      <c r="C30" s="76"/>
      <c r="D30" s="71" t="s">
        <v>186</v>
      </c>
      <c r="E30" s="72" t="s">
        <v>187</v>
      </c>
      <c r="F30" s="45">
        <v>0</v>
      </c>
      <c r="G30" s="83">
        <v>1018</v>
      </c>
      <c r="H30" s="45">
        <v>0</v>
      </c>
      <c r="I30" s="45">
        <v>0</v>
      </c>
      <c r="J30" s="147">
        <f t="shared" si="1"/>
        <v>1018</v>
      </c>
      <c r="K30" s="45"/>
    </row>
    <row r="31" spans="1:11" ht="13.9" x14ac:dyDescent="0.4">
      <c r="A31" s="41"/>
      <c r="B31" s="56" t="s">
        <v>107</v>
      </c>
      <c r="C31" s="76"/>
      <c r="D31" s="76" t="s">
        <v>165</v>
      </c>
      <c r="E31" s="56" t="s">
        <v>56</v>
      </c>
      <c r="F31" s="126" t="s">
        <v>3</v>
      </c>
      <c r="G31" s="127">
        <v>28200</v>
      </c>
      <c r="H31" s="126" t="s">
        <v>3</v>
      </c>
      <c r="I31" s="126" t="s">
        <v>3</v>
      </c>
      <c r="J31" s="34">
        <f>SUM(F31:I31)</f>
        <v>28200</v>
      </c>
      <c r="K31" s="120" t="s">
        <v>273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66"/>
      <c r="G32" s="166"/>
      <c r="H32" s="166"/>
      <c r="I32" s="166"/>
      <c r="J32" s="166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102">
        <v>0</v>
      </c>
      <c r="G33" s="102">
        <v>0</v>
      </c>
      <c r="H33" s="102">
        <v>0</v>
      </c>
      <c r="I33" s="102">
        <v>0</v>
      </c>
      <c r="J33" s="3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62185.277999999998</v>
      </c>
      <c r="G34" s="22">
        <v>124370.556</v>
      </c>
      <c r="H34" s="22">
        <v>58527.321000000004</v>
      </c>
      <c r="I34" s="22">
        <v>0</v>
      </c>
      <c r="J34" s="24">
        <f>SUM(F34:I34)</f>
        <v>245083.155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268560.402</v>
      </c>
      <c r="G35" s="22">
        <v>1337933.1410000001</v>
      </c>
      <c r="H35" s="22">
        <v>427288.62800000003</v>
      </c>
      <c r="I35" s="22">
        <v>21104.415000000001</v>
      </c>
      <c r="J35" s="24">
        <f>SUM(F35:I35)</f>
        <v>2054886.5860000001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67"/>
      <c r="G36" s="167"/>
      <c r="H36" s="167"/>
      <c r="I36" s="167"/>
      <c r="J36" s="167"/>
      <c r="K36" s="61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31597.931</v>
      </c>
      <c r="G37" s="45">
        <v>116392.43799999999</v>
      </c>
      <c r="H37" s="45">
        <v>0</v>
      </c>
      <c r="I37" s="45">
        <v>0</v>
      </c>
      <c r="J37" s="46">
        <f t="shared" ref="J37:J54" si="2">SUM(F37:I37)</f>
        <v>147990.36900000001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100</v>
      </c>
      <c r="G38" s="45">
        <v>11671</v>
      </c>
      <c r="H38" s="45">
        <v>0</v>
      </c>
      <c r="I38" s="45">
        <v>0</v>
      </c>
      <c r="J38" s="46">
        <f t="shared" si="2"/>
        <v>11771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65521.326999999997</v>
      </c>
      <c r="G39" s="45">
        <v>652644.00300000003</v>
      </c>
      <c r="H39" s="45">
        <v>36223.311000000002</v>
      </c>
      <c r="I39" s="45">
        <v>223378.26300000001</v>
      </c>
      <c r="J39" s="46">
        <f t="shared" si="2"/>
        <v>977766.9040000001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29823.146000000001</v>
      </c>
      <c r="G40" s="45">
        <v>140240.291</v>
      </c>
      <c r="H40" s="45">
        <v>0</v>
      </c>
      <c r="I40" s="45">
        <v>0</v>
      </c>
      <c r="J40" s="46">
        <f t="shared" si="2"/>
        <v>170063.43700000001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7127.6210000000001</v>
      </c>
      <c r="G41" s="45">
        <v>84839.508000000002</v>
      </c>
      <c r="H41" s="45">
        <v>0</v>
      </c>
      <c r="I41" s="45">
        <v>7500</v>
      </c>
      <c r="J41" s="46">
        <f t="shared" si="2"/>
        <v>99467.129000000001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1558.634</v>
      </c>
      <c r="G42" s="45">
        <v>12927.569</v>
      </c>
      <c r="H42" s="45">
        <v>0</v>
      </c>
      <c r="I42" s="45">
        <v>0</v>
      </c>
      <c r="J42" s="46">
        <f t="shared" si="2"/>
        <v>14486.203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5959.7049999999999</v>
      </c>
      <c r="G43" s="45">
        <v>14247.652830000001</v>
      </c>
      <c r="H43" s="45">
        <v>0</v>
      </c>
      <c r="I43" s="45">
        <v>0</v>
      </c>
      <c r="J43" s="46">
        <f t="shared" si="2"/>
        <v>20207.357830000001</v>
      </c>
      <c r="K43" s="56" t="s">
        <v>301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38234.226999999999</v>
      </c>
      <c r="G44" s="83">
        <v>52250.025000000001</v>
      </c>
      <c r="H44" s="83">
        <v>0</v>
      </c>
      <c r="I44" s="83">
        <v>1500</v>
      </c>
      <c r="J44" s="46">
        <f t="shared" si="2"/>
        <v>91984.252000000008</v>
      </c>
      <c r="K44" s="56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1300</v>
      </c>
      <c r="G45" s="83">
        <v>11903.590109999999</v>
      </c>
      <c r="H45" s="83">
        <v>0</v>
      </c>
      <c r="I45" s="83">
        <v>0</v>
      </c>
      <c r="J45" s="46">
        <f>SUM(F45:I45)</f>
        <v>13203.590109999999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810.45299999999997</v>
      </c>
      <c r="G46" s="83">
        <v>25165.035</v>
      </c>
      <c r="H46" s="83">
        <v>0</v>
      </c>
      <c r="I46" s="83">
        <v>0</v>
      </c>
      <c r="J46" s="46">
        <f t="shared" si="2"/>
        <v>25975.488000000001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626.27499999999998</v>
      </c>
      <c r="G47" s="83">
        <v>7495.7979999999998</v>
      </c>
      <c r="H47" s="83">
        <v>0</v>
      </c>
      <c r="I47" s="83">
        <v>0</v>
      </c>
      <c r="J47" s="46">
        <f t="shared" si="2"/>
        <v>8122.0729999999994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174304.65</v>
      </c>
      <c r="G48" s="83">
        <v>445194.49300000002</v>
      </c>
      <c r="H48" s="83">
        <v>0</v>
      </c>
      <c r="I48" s="83">
        <v>275400</v>
      </c>
      <c r="J48" s="46">
        <f t="shared" si="2"/>
        <v>894899.14300000004</v>
      </c>
      <c r="K48" s="56" t="s">
        <v>209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3752.0050000000001</v>
      </c>
      <c r="H49" s="83">
        <v>0</v>
      </c>
      <c r="I49" s="83">
        <v>0</v>
      </c>
      <c r="J49" s="46">
        <f t="shared" si="2"/>
        <v>3752.0050000000001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14530.662</v>
      </c>
      <c r="G50" s="83">
        <v>21636.543000000001</v>
      </c>
      <c r="H50" s="83">
        <v>0</v>
      </c>
      <c r="I50" s="83">
        <v>0</v>
      </c>
      <c r="J50" s="46">
        <f t="shared" si="2"/>
        <v>36167.205000000002</v>
      </c>
      <c r="K50" s="56" t="s">
        <v>240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1800</v>
      </c>
      <c r="G51" s="83">
        <v>15254.90389</v>
      </c>
      <c r="H51" s="83">
        <v>0</v>
      </c>
      <c r="I51" s="83">
        <v>0</v>
      </c>
      <c r="J51" s="46">
        <f t="shared" si="2"/>
        <v>17054.903890000001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26524.776000000002</v>
      </c>
      <c r="G52" s="83">
        <v>57319.154000000002</v>
      </c>
      <c r="H52" s="83">
        <v>0</v>
      </c>
      <c r="I52" s="83">
        <v>4500</v>
      </c>
      <c r="J52" s="46">
        <f t="shared" si="2"/>
        <v>88343.930000000008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32854.256999999998</v>
      </c>
      <c r="H53" s="83">
        <v>0</v>
      </c>
      <c r="I53" s="83">
        <v>0</v>
      </c>
      <c r="J53" s="46">
        <f t="shared" si="2"/>
        <v>43354.256999999998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154" t="s">
        <v>283</v>
      </c>
      <c r="F54" s="133">
        <v>3000</v>
      </c>
      <c r="G54" s="133">
        <v>31400</v>
      </c>
      <c r="H54" s="133">
        <v>0</v>
      </c>
      <c r="I54" s="133">
        <v>80000</v>
      </c>
      <c r="J54" s="134">
        <f t="shared" si="2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67"/>
      <c r="G55" s="167"/>
      <c r="H55" s="167"/>
      <c r="I55" s="167"/>
      <c r="J55" s="167"/>
      <c r="K55" s="61"/>
    </row>
    <row r="56" spans="1:11" ht="13.9" x14ac:dyDescent="0.4">
      <c r="A56" s="39"/>
      <c r="B56" s="2" t="s">
        <v>113</v>
      </c>
      <c r="C56" s="13" t="s">
        <v>184</v>
      </c>
      <c r="D56" s="13"/>
      <c r="E56" s="2" t="s">
        <v>59</v>
      </c>
      <c r="F56" s="22">
        <v>70000</v>
      </c>
      <c r="G56" s="22">
        <v>220000</v>
      </c>
      <c r="H56" s="22">
        <v>45000</v>
      </c>
      <c r="I56" s="22">
        <v>0</v>
      </c>
      <c r="J56" s="24">
        <f t="shared" ref="J56:J65" si="3">SUM(F56:I56)</f>
        <v>335000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884457.99899999995</v>
      </c>
      <c r="G57" s="22">
        <v>2083710.095</v>
      </c>
      <c r="H57" s="22">
        <v>0</v>
      </c>
      <c r="I57" s="22">
        <v>0</v>
      </c>
      <c r="J57" s="24">
        <f>SUM(F57:I57)</f>
        <v>2968168.094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30721.79</v>
      </c>
      <c r="G58" s="22">
        <v>115854.064</v>
      </c>
      <c r="H58" s="22">
        <v>0</v>
      </c>
      <c r="I58" s="22">
        <v>0</v>
      </c>
      <c r="J58" s="24">
        <f t="shared" si="3"/>
        <v>146575.85399999999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47813.332999999999</v>
      </c>
      <c r="G59" s="22">
        <v>100025.25599999999</v>
      </c>
      <c r="H59" s="22">
        <v>18880.512999999999</v>
      </c>
      <c r="I59" s="22">
        <v>0</v>
      </c>
      <c r="J59" s="24">
        <f t="shared" si="3"/>
        <v>166719.10199999998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67000</v>
      </c>
      <c r="G60" s="22">
        <v>334000</v>
      </c>
      <c r="H60" s="22">
        <v>11000</v>
      </c>
      <c r="I60" s="22">
        <v>66000</v>
      </c>
      <c r="J60" s="24">
        <f t="shared" si="3"/>
        <v>478000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60476</v>
      </c>
      <c r="G61" s="45">
        <v>141348</v>
      </c>
      <c r="H61" s="45">
        <v>0</v>
      </c>
      <c r="I61" s="45">
        <v>0</v>
      </c>
      <c r="J61" s="46">
        <f>SUM(F61:I61)</f>
        <v>201824</v>
      </c>
      <c r="K61" s="45" t="s">
        <v>299</v>
      </c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14117.976000000001</v>
      </c>
      <c r="G62" s="22">
        <v>54097.131000000001</v>
      </c>
      <c r="H62" s="22">
        <v>0</v>
      </c>
      <c r="I62" s="22">
        <v>0</v>
      </c>
      <c r="J62" s="24">
        <f t="shared" si="3"/>
        <v>68215.107000000004</v>
      </c>
      <c r="K62" s="22" t="s">
        <v>286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559340</v>
      </c>
      <c r="G63" s="19">
        <v>1541460</v>
      </c>
      <c r="H63" s="19">
        <v>65987</v>
      </c>
      <c r="I63" s="19">
        <v>135761</v>
      </c>
      <c r="J63" s="24">
        <f t="shared" si="3"/>
        <v>2302548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6589.5330000000004</v>
      </c>
      <c r="G64" s="19">
        <v>16730.776000000002</v>
      </c>
      <c r="H64" s="19">
        <v>1804.2049999999999</v>
      </c>
      <c r="I64" s="9" t="s">
        <v>3</v>
      </c>
      <c r="J64" s="24">
        <f t="shared" si="3"/>
        <v>25124.514000000003</v>
      </c>
      <c r="K64" s="102"/>
    </row>
    <row r="65" spans="1:11" ht="13.9" x14ac:dyDescent="0.4">
      <c r="A65" s="39"/>
      <c r="B65" s="2" t="s">
        <v>118</v>
      </c>
      <c r="C65" s="13" t="s">
        <v>184</v>
      </c>
      <c r="D65" s="13"/>
      <c r="E65" s="2" t="s">
        <v>205</v>
      </c>
      <c r="F65" s="33">
        <f>'16'!F65</f>
        <v>700</v>
      </c>
      <c r="G65" s="33">
        <f>'16'!G65</f>
        <v>19095</v>
      </c>
      <c r="H65" s="33">
        <f>'16'!H65</f>
        <v>400</v>
      </c>
      <c r="I65" s="33">
        <f>'16'!I65</f>
        <v>0</v>
      </c>
      <c r="J65" s="34">
        <f t="shared" si="3"/>
        <v>20195</v>
      </c>
      <c r="K65" s="120" t="s">
        <v>251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224066.82199999999</v>
      </c>
      <c r="G66" s="22">
        <v>238632.17300000001</v>
      </c>
      <c r="H66" s="22">
        <v>9577.2960000000003</v>
      </c>
      <c r="I66" s="19">
        <v>55514.326000000001</v>
      </c>
      <c r="J66" s="24">
        <f>SUM(F66:I66)</f>
        <v>527790.61699999997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61097.256999999998</v>
      </c>
      <c r="G67" s="22">
        <v>106982.54300000001</v>
      </c>
      <c r="H67" s="22">
        <v>0</v>
      </c>
      <c r="I67" s="22">
        <v>106604.32</v>
      </c>
      <c r="J67" s="24">
        <f t="shared" ref="J67" si="4">SUM(F67:I67)</f>
        <v>274684.12</v>
      </c>
      <c r="K67" s="24"/>
    </row>
    <row r="68" spans="1:11" ht="13.9" x14ac:dyDescent="0.4">
      <c r="A68" s="39"/>
      <c r="B68" s="2" t="s">
        <v>291</v>
      </c>
      <c r="C68" s="13" t="s">
        <v>184</v>
      </c>
      <c r="D68" s="13"/>
      <c r="E68" s="2" t="s">
        <v>292</v>
      </c>
      <c r="F68" s="22">
        <v>484.03156000000001</v>
      </c>
      <c r="G68" s="22">
        <v>3336.1815099999999</v>
      </c>
      <c r="H68" s="22">
        <v>0</v>
      </c>
      <c r="I68" s="22">
        <v>0</v>
      </c>
      <c r="J68" s="24">
        <f t="shared" ref="J68" si="5">SUM(F68:I68)</f>
        <v>3820.2130699999998</v>
      </c>
      <c r="K68" s="24"/>
    </row>
    <row r="69" spans="1:11" ht="13.9" x14ac:dyDescent="0.4">
      <c r="A69" s="39"/>
      <c r="B69" s="23" t="s">
        <v>120</v>
      </c>
      <c r="C69" s="69" t="s">
        <v>184</v>
      </c>
      <c r="D69" s="69"/>
      <c r="E69" s="23" t="s">
        <v>66</v>
      </c>
      <c r="F69" s="22">
        <v>17422.806</v>
      </c>
      <c r="G69" s="22">
        <v>47801.491999999998</v>
      </c>
      <c r="H69" s="22">
        <v>3810.152</v>
      </c>
      <c r="I69" s="22">
        <v>0</v>
      </c>
      <c r="J69" s="24">
        <f>SUM(F69:I69)</f>
        <v>69034.45</v>
      </c>
      <c r="K69" s="33"/>
    </row>
    <row r="70" spans="1:11" ht="13.9" x14ac:dyDescent="0.4">
      <c r="A70" s="39"/>
      <c r="B70" s="8" t="s">
        <v>161</v>
      </c>
      <c r="C70" s="38"/>
      <c r="D70" s="38"/>
      <c r="E70" s="8" t="s">
        <v>160</v>
      </c>
      <c r="F70" s="19">
        <v>33357.752339999999</v>
      </c>
      <c r="G70" s="19">
        <v>60537.356919999998</v>
      </c>
      <c r="H70" s="19" t="s">
        <v>5</v>
      </c>
      <c r="I70" s="19" t="s">
        <v>5</v>
      </c>
      <c r="J70" s="24">
        <f>SUM(F70:I70)</f>
        <v>93895.109259999997</v>
      </c>
      <c r="K70" s="120"/>
    </row>
    <row r="71" spans="1:11" ht="13.9" x14ac:dyDescent="0.4">
      <c r="A71" s="39"/>
      <c r="B71" s="23" t="s">
        <v>121</v>
      </c>
      <c r="C71" s="69" t="s">
        <v>184</v>
      </c>
      <c r="D71" s="69"/>
      <c r="E71" s="23" t="s">
        <v>67</v>
      </c>
      <c r="F71" s="22">
        <v>706450</v>
      </c>
      <c r="G71" s="22">
        <v>285230</v>
      </c>
      <c r="H71" s="22" t="s">
        <v>16</v>
      </c>
      <c r="I71" s="9" t="s">
        <v>3</v>
      </c>
      <c r="J71" s="24">
        <f>SUM(F71:I71)</f>
        <v>991680</v>
      </c>
      <c r="K71" s="22" t="s">
        <v>315</v>
      </c>
    </row>
    <row r="72" spans="1:11" ht="13.9" x14ac:dyDescent="0.4">
      <c r="A72" s="39"/>
      <c r="B72" s="23" t="s">
        <v>162</v>
      </c>
      <c r="C72" s="69"/>
      <c r="D72" s="69"/>
      <c r="E72" s="23" t="s">
        <v>182</v>
      </c>
      <c r="F72" s="22">
        <v>15684.88027</v>
      </c>
      <c r="G72" s="22">
        <v>159419.18947000001</v>
      </c>
      <c r="H72" s="22">
        <v>0</v>
      </c>
      <c r="I72" s="22">
        <v>0</v>
      </c>
      <c r="J72" s="24">
        <f>SUM(F72:I72)</f>
        <v>175104.06974000001</v>
      </c>
      <c r="K72" s="45"/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89592.998000000007</v>
      </c>
      <c r="G73" s="83">
        <v>98041.081000000006</v>
      </c>
      <c r="H73" s="83">
        <f>'16'!H73</f>
        <v>0</v>
      </c>
      <c r="I73" s="83">
        <f>'16'!I73</f>
        <v>0</v>
      </c>
      <c r="J73" s="46">
        <f>SUM(F73:I73)</f>
        <v>187634.07900000003</v>
      </c>
      <c r="K73" s="45"/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68"/>
      <c r="G74" s="168"/>
      <c r="H74" s="168"/>
      <c r="I74" s="168"/>
      <c r="J74" s="168"/>
      <c r="K74" s="60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267.322</v>
      </c>
      <c r="G75" s="19">
        <v>437.43700000000001</v>
      </c>
      <c r="H75" s="19">
        <v>157.184</v>
      </c>
      <c r="I75" s="19">
        <v>0</v>
      </c>
      <c r="J75" s="24">
        <f>SUM(F75:I75)</f>
        <v>861.94299999999998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158638</v>
      </c>
      <c r="H76" s="19">
        <v>0</v>
      </c>
      <c r="I76" s="19">
        <v>0</v>
      </c>
      <c r="J76" s="24">
        <f>SUM(F76:I76)</f>
        <v>158638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26" t="s">
        <v>3</v>
      </c>
      <c r="G77" s="126" t="s">
        <v>3</v>
      </c>
      <c r="H77" s="126" t="s">
        <v>3</v>
      </c>
      <c r="I77" s="126" t="s">
        <v>3</v>
      </c>
      <c r="J77" s="34">
        <f>'15'!J77*(1-0.05)</f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85107.275999999998</v>
      </c>
      <c r="G78" s="22">
        <v>321774.647</v>
      </c>
      <c r="H78" s="22">
        <v>0</v>
      </c>
      <c r="I78" s="22">
        <v>0</v>
      </c>
      <c r="J78" s="24">
        <f>SUM(F78:I78)</f>
        <v>406881.92300000001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33">
        <v>4404.835</v>
      </c>
      <c r="G79" s="33">
        <v>11177.579</v>
      </c>
      <c r="H79" s="33">
        <v>776.52700000000004</v>
      </c>
      <c r="I79" s="33">
        <v>0</v>
      </c>
      <c r="J79" s="34">
        <f>SUM(F79:I79)</f>
        <v>16358.941000000001</v>
      </c>
      <c r="K79" s="120" t="s">
        <v>251</v>
      </c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25530.235000000001</v>
      </c>
      <c r="G80" s="19">
        <v>5138.7830000000004</v>
      </c>
      <c r="H80" s="19">
        <v>7853.8990000000003</v>
      </c>
      <c r="I80" s="19">
        <v>119.238</v>
      </c>
      <c r="J80" s="34">
        <f>SUM(F80:I80)</f>
        <v>38642.154999999999</v>
      </c>
      <c r="K80" s="102"/>
    </row>
    <row r="81" spans="1:11" ht="13.9" x14ac:dyDescent="0.4">
      <c r="A81" s="40"/>
      <c r="B81" s="23" t="s">
        <v>125</v>
      </c>
      <c r="C81" s="69" t="s">
        <v>184</v>
      </c>
      <c r="D81" s="69"/>
      <c r="E81" s="23" t="s">
        <v>73</v>
      </c>
      <c r="F81" s="22">
        <v>13695.584999999999</v>
      </c>
      <c r="G81" s="22">
        <v>2856.5450000000001</v>
      </c>
      <c r="H81" s="22">
        <v>0</v>
      </c>
      <c r="I81" s="22">
        <v>0</v>
      </c>
      <c r="J81" s="24">
        <f>SUM(F81:I81)</f>
        <v>16552.129999999997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33">
        <f>'16'!F82</f>
        <v>500</v>
      </c>
      <c r="G82" s="33">
        <f>'16'!G82</f>
        <v>25650</v>
      </c>
      <c r="H82" s="33">
        <v>800</v>
      </c>
      <c r="I82" s="33">
        <v>0</v>
      </c>
      <c r="J82" s="34">
        <f>SUM(F82:I82)</f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ref="J83:J87" si="6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61675.264999999999</v>
      </c>
      <c r="H84" s="19">
        <v>0</v>
      </c>
      <c r="I84" s="19">
        <v>0</v>
      </c>
      <c r="J84" s="24">
        <f t="shared" si="6"/>
        <v>61675.264999999999</v>
      </c>
      <c r="K84" s="8" t="s">
        <v>269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375451.20600000001</v>
      </c>
      <c r="G85" s="22">
        <v>779209.53599999996</v>
      </c>
      <c r="H85" s="22">
        <v>0</v>
      </c>
      <c r="I85" s="22">
        <v>0</v>
      </c>
      <c r="J85" s="24">
        <f t="shared" si="6"/>
        <v>1154660.7420000001</v>
      </c>
      <c r="K85" s="22" t="s">
        <v>296</v>
      </c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147600</v>
      </c>
      <c r="G86" s="22">
        <v>1293184</v>
      </c>
      <c r="H86" s="22">
        <v>0</v>
      </c>
      <c r="I86" s="22">
        <v>0</v>
      </c>
      <c r="J86" s="24">
        <f t="shared" si="6"/>
        <v>1440784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14897.884050000001</v>
      </c>
      <c r="G87" s="22">
        <v>26951.823420000001</v>
      </c>
      <c r="H87" s="22">
        <v>6920.7828799999997</v>
      </c>
      <c r="I87" s="22">
        <v>0</v>
      </c>
      <c r="J87" s="24">
        <f t="shared" si="6"/>
        <v>48770.49035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26" t="s">
        <v>3</v>
      </c>
      <c r="G88" s="126" t="s">
        <v>3</v>
      </c>
      <c r="H88" s="126" t="s">
        <v>3</v>
      </c>
      <c r="I88" s="126" t="s">
        <v>3</v>
      </c>
      <c r="J88" s="34">
        <f>'16'!J88</f>
        <v>10925</v>
      </c>
      <c r="K88" s="120" t="s">
        <v>251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33">
        <f>'16'!F89</f>
        <v>9100</v>
      </c>
      <c r="G89" s="33">
        <f>'16'!G89</f>
        <v>19000</v>
      </c>
      <c r="H89" s="33">
        <v>0</v>
      </c>
      <c r="I89" s="33">
        <v>0</v>
      </c>
      <c r="J89" s="34">
        <f>'16'!J89</f>
        <v>28100</v>
      </c>
      <c r="K89" s="120" t="s">
        <v>251</v>
      </c>
    </row>
    <row r="90" spans="1:11" ht="13.9" x14ac:dyDescent="0.4">
      <c r="A90" s="40"/>
      <c r="B90" s="23" t="s">
        <v>19</v>
      </c>
      <c r="C90" s="69" t="s">
        <v>184</v>
      </c>
      <c r="D90" s="69"/>
      <c r="E90" s="23" t="s">
        <v>82</v>
      </c>
      <c r="F90" s="22">
        <v>338869.58</v>
      </c>
      <c r="G90" s="22">
        <v>423792.71899999998</v>
      </c>
      <c r="H90" s="22">
        <v>16385.964</v>
      </c>
      <c r="I90" s="22">
        <v>92138.634000000005</v>
      </c>
      <c r="J90" s="24">
        <f t="shared" ref="J90:J100" si="7">SUM(F90:I90)</f>
        <v>871186.897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264000</v>
      </c>
      <c r="G91" s="22">
        <v>412000</v>
      </c>
      <c r="H91" s="22">
        <v>0</v>
      </c>
      <c r="I91" s="19">
        <v>0</v>
      </c>
      <c r="J91" s="24">
        <f t="shared" si="7"/>
        <v>676000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924000</v>
      </c>
      <c r="G92" s="22">
        <v>39310</v>
      </c>
      <c r="H92" s="22">
        <v>0</v>
      </c>
      <c r="I92" s="19">
        <v>95200</v>
      </c>
      <c r="J92" s="24">
        <f t="shared" si="7"/>
        <v>1058510</v>
      </c>
      <c r="K92" s="101" t="s">
        <v>239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15370.476000000001</v>
      </c>
      <c r="G93" s="22">
        <v>108495.274</v>
      </c>
      <c r="H93" s="22">
        <v>4073.9659999999999</v>
      </c>
      <c r="I93" s="22">
        <v>7574.28</v>
      </c>
      <c r="J93" s="24">
        <f t="shared" si="7"/>
        <v>135513.99600000001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22">
        <v>17279</v>
      </c>
      <c r="G94" s="22">
        <v>23903</v>
      </c>
      <c r="H94" s="19">
        <v>1664</v>
      </c>
      <c r="I94" s="22">
        <v>0</v>
      </c>
      <c r="J94" s="24">
        <f t="shared" si="7"/>
        <v>42846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33">
        <v>0</v>
      </c>
      <c r="G95" s="33">
        <v>0</v>
      </c>
      <c r="H95" s="33">
        <v>0</v>
      </c>
      <c r="I95" s="33">
        <v>0</v>
      </c>
      <c r="J95" s="34">
        <f t="shared" si="7"/>
        <v>0</v>
      </c>
      <c r="K95" s="120" t="s">
        <v>251</v>
      </c>
    </row>
    <row r="96" spans="1:11" ht="13.9" x14ac:dyDescent="0.4">
      <c r="A96" s="40"/>
      <c r="B96" s="23" t="s">
        <v>24</v>
      </c>
      <c r="C96" s="69" t="s">
        <v>184</v>
      </c>
      <c r="D96" s="69"/>
      <c r="E96" s="23" t="s">
        <v>178</v>
      </c>
      <c r="F96" s="22">
        <v>86098.697</v>
      </c>
      <c r="G96" s="22">
        <v>270567.67599999998</v>
      </c>
      <c r="H96" s="22">
        <v>45502.171999999999</v>
      </c>
      <c r="I96" s="22" t="str">
        <f>'16'!I96</f>
        <v>not available</v>
      </c>
      <c r="J96" s="24">
        <f t="shared" si="7"/>
        <v>402168.54499999998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1886.2840000000001</v>
      </c>
      <c r="G97" s="22">
        <v>16066.236000000001</v>
      </c>
      <c r="H97" s="22">
        <v>2121.7449999999999</v>
      </c>
      <c r="I97" s="22">
        <v>0</v>
      </c>
      <c r="J97" s="24">
        <f t="shared" si="7"/>
        <v>20074.264999999999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140392.70209999999</v>
      </c>
      <c r="G98" s="22">
        <v>249017.76877</v>
      </c>
      <c r="H98" s="22">
        <v>16839.140370000001</v>
      </c>
      <c r="I98" s="22">
        <v>0</v>
      </c>
      <c r="J98" s="24">
        <f t="shared" si="7"/>
        <v>406249.61123999994</v>
      </c>
      <c r="K98" s="102"/>
    </row>
    <row r="99" spans="1:11" ht="13.9" x14ac:dyDescent="0.4">
      <c r="A99" s="40"/>
      <c r="B99" s="23" t="s">
        <v>137</v>
      </c>
      <c r="C99" s="69" t="s">
        <v>184</v>
      </c>
      <c r="D99" s="69"/>
      <c r="E99" s="23" t="s">
        <v>90</v>
      </c>
      <c r="F99" s="22">
        <v>33930.519</v>
      </c>
      <c r="G99" s="22">
        <f>105384.819+35060.183</f>
        <v>140445.00200000001</v>
      </c>
      <c r="H99" s="22">
        <v>0</v>
      </c>
      <c r="I99" s="19">
        <v>0</v>
      </c>
      <c r="J99" s="24">
        <f t="shared" si="7"/>
        <v>174375.52100000001</v>
      </c>
      <c r="K99" s="22" t="s">
        <v>314</v>
      </c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255000</v>
      </c>
      <c r="H100" s="19">
        <v>0</v>
      </c>
      <c r="I100" s="19">
        <v>0</v>
      </c>
      <c r="J100" s="24">
        <f t="shared" si="7"/>
        <v>256000</v>
      </c>
      <c r="K100" s="163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83639.661999999997</v>
      </c>
      <c r="G101" s="19">
        <v>162027.424</v>
      </c>
      <c r="H101" s="19">
        <v>7780.5720000000001</v>
      </c>
      <c r="I101" s="19">
        <v>0</v>
      </c>
      <c r="J101" s="24">
        <f>SUM(F101:I101)</f>
        <v>253447.658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33">
        <f>'16'!F102</f>
        <v>1500</v>
      </c>
      <c r="G102" s="33">
        <f>'16'!G102</f>
        <v>183350</v>
      </c>
      <c r="H102" s="33">
        <f>'16'!H102</f>
        <v>300</v>
      </c>
      <c r="I102" s="33">
        <f>'16'!I102</f>
        <v>0</v>
      </c>
      <c r="J102" s="34">
        <f>'16'!J102</f>
        <v>185150</v>
      </c>
      <c r="K102" s="120" t="s">
        <v>251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482618.83399999997</v>
      </c>
      <c r="G103" s="22">
        <v>560836.21299999999</v>
      </c>
      <c r="H103" s="22">
        <v>463225.212</v>
      </c>
      <c r="I103" s="22">
        <v>1053832.017</v>
      </c>
      <c r="J103" s="24">
        <f>SUM(F103:I103)</f>
        <v>2560512.2760000001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677562.99300000002</v>
      </c>
      <c r="G104" s="22">
        <v>1499304.3859999999</v>
      </c>
      <c r="H104" s="22">
        <v>1028160</v>
      </c>
      <c r="I104" s="22">
        <v>1246850.5549999999</v>
      </c>
      <c r="J104" s="24">
        <f>SUM(F104:I104)</f>
        <v>4451877.9339999994</v>
      </c>
      <c r="K104" s="98" t="s">
        <v>297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68"/>
      <c r="G105" s="168"/>
      <c r="H105" s="168"/>
      <c r="I105" s="168"/>
      <c r="J105" s="168"/>
      <c r="K105" s="60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22360</v>
      </c>
      <c r="H106" s="68" t="s">
        <v>3</v>
      </c>
      <c r="I106" s="68" t="s">
        <v>3</v>
      </c>
      <c r="J106" s="46">
        <f>SUM(F106:I106)</f>
        <v>22360</v>
      </c>
      <c r="K106" s="45" t="s">
        <v>305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68" t="s">
        <v>3</v>
      </c>
      <c r="G107" s="83">
        <v>17880</v>
      </c>
      <c r="H107" s="68" t="s">
        <v>3</v>
      </c>
      <c r="I107" s="68" t="s">
        <v>3</v>
      </c>
      <c r="J107" s="46">
        <v>17880</v>
      </c>
      <c r="K107" s="45" t="s">
        <v>306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24150</v>
      </c>
      <c r="H108" s="68" t="s">
        <v>3</v>
      </c>
      <c r="I108" s="68" t="s">
        <v>3</v>
      </c>
      <c r="J108" s="46">
        <f>SUM(F108:I108)</f>
        <v>24150</v>
      </c>
      <c r="K108" s="45" t="s">
        <v>305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83">
        <v>52000</v>
      </c>
      <c r="H109" s="68" t="s">
        <v>3</v>
      </c>
      <c r="I109" s="68" t="s">
        <v>3</v>
      </c>
      <c r="J109" s="46">
        <v>52330</v>
      </c>
      <c r="K109" s="45" t="s">
        <v>305</v>
      </c>
    </row>
    <row r="110" spans="1:11" s="2" customFormat="1" ht="13.9" x14ac:dyDescent="0.4">
      <c r="A110" s="41"/>
      <c r="B110" s="23" t="s">
        <v>97</v>
      </c>
      <c r="C110" s="69" t="s">
        <v>184</v>
      </c>
      <c r="D110" s="69" t="s">
        <v>165</v>
      </c>
      <c r="E110" s="23" t="s">
        <v>96</v>
      </c>
      <c r="F110" s="83">
        <v>0</v>
      </c>
      <c r="G110" s="83">
        <v>36900</v>
      </c>
      <c r="H110" s="83">
        <v>0</v>
      </c>
      <c r="I110" s="83">
        <v>0</v>
      </c>
      <c r="J110" s="46">
        <f t="shared" ref="J110:J118" si="8">SUM(F110:I110)</f>
        <v>36900</v>
      </c>
      <c r="K110" s="45" t="s">
        <v>305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26">
        <v>2900</v>
      </c>
      <c r="G111" s="127">
        <v>13000</v>
      </c>
      <c r="H111" s="126" t="s">
        <v>3</v>
      </c>
      <c r="I111" s="126" t="s">
        <v>3</v>
      </c>
      <c r="J111" s="34">
        <f>SUM(F111:I111)</f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68" t="s">
        <v>3</v>
      </c>
      <c r="H112" s="68" t="s">
        <v>3</v>
      </c>
      <c r="I112" s="68" t="s">
        <v>3</v>
      </c>
      <c r="J112" s="46">
        <v>35610</v>
      </c>
      <c r="K112" s="45" t="s">
        <v>305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1540</v>
      </c>
      <c r="H113" s="68" t="s">
        <v>3</v>
      </c>
      <c r="I113" s="68" t="s">
        <v>3</v>
      </c>
      <c r="J113" s="46">
        <f t="shared" si="8"/>
        <v>1540</v>
      </c>
      <c r="K113" s="45" t="s">
        <v>305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26" t="s">
        <v>3</v>
      </c>
      <c r="G114" s="127">
        <v>300000</v>
      </c>
      <c r="H114" s="126" t="s">
        <v>3</v>
      </c>
      <c r="I114" s="126" t="s">
        <v>3</v>
      </c>
      <c r="J114" s="34">
        <f t="shared" si="8"/>
        <v>300000</v>
      </c>
      <c r="K114" s="120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231630</v>
      </c>
      <c r="H115" s="68" t="s">
        <v>3</v>
      </c>
      <c r="I115" s="68" t="s">
        <v>3</v>
      </c>
      <c r="J115" s="46">
        <f t="shared" si="8"/>
        <v>231630</v>
      </c>
      <c r="K115" s="45" t="s">
        <v>305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127">
        <v>19000</v>
      </c>
      <c r="G116" s="127">
        <v>21000</v>
      </c>
      <c r="H116" s="126" t="s">
        <v>3</v>
      </c>
      <c r="I116" s="126" t="s">
        <v>3</v>
      </c>
      <c r="J116" s="34">
        <f t="shared" si="8"/>
        <v>40000</v>
      </c>
      <c r="K116" s="120" t="s">
        <v>251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68" t="s">
        <v>3</v>
      </c>
      <c r="G117" s="83">
        <v>405720</v>
      </c>
      <c r="H117" s="68" t="s">
        <v>3</v>
      </c>
      <c r="I117" s="68" t="s">
        <v>3</v>
      </c>
      <c r="J117" s="46">
        <f t="shared" si="8"/>
        <v>405720</v>
      </c>
      <c r="K117" s="45" t="s">
        <v>305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68" t="s">
        <v>3</v>
      </c>
      <c r="G118" s="83">
        <v>15540</v>
      </c>
      <c r="H118" s="68" t="s">
        <v>3</v>
      </c>
      <c r="I118" s="68" t="s">
        <v>3</v>
      </c>
      <c r="J118" s="46">
        <f t="shared" si="8"/>
        <v>15540</v>
      </c>
      <c r="K118" s="45" t="s">
        <v>305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7455890.2210200001</v>
      </c>
      <c r="G120" s="21">
        <f>SUM(G10:G119)</f>
        <v>17516337.553070001</v>
      </c>
      <c r="H120" s="21">
        <f>SUM(H10:H119)</f>
        <v>2286472.1908600004</v>
      </c>
      <c r="I120" s="21">
        <f>SUM(I10:I119)</f>
        <v>3648875.575003</v>
      </c>
      <c r="J120" s="67">
        <f>SUM(J10:J119)</f>
        <v>30968440.539953005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9742362.4118800014</v>
      </c>
      <c r="G121" s="8"/>
      <c r="H121" s="8"/>
      <c r="I121" s="35"/>
      <c r="J121" s="22">
        <f>SUM(F120:I120)</f>
        <v>30907575.539953001</v>
      </c>
      <c r="K121" s="1">
        <f>J120-J121</f>
        <v>60865.000000003725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7469464.7210200001</v>
      </c>
      <c r="G123" s="86">
        <f>G120+G129</f>
        <v>17638508.053070001</v>
      </c>
      <c r="H123" s="86">
        <f>H120</f>
        <v>2286472.1908600004</v>
      </c>
      <c r="I123" s="86">
        <f>I120</f>
        <v>3648875.575003</v>
      </c>
      <c r="J123" s="86">
        <f>SUM(F123:I123)</f>
        <v>31043320.539953001</v>
      </c>
      <c r="K123" s="6">
        <f>J123-J120</f>
        <v>74879.999999996275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9755936.9118800014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0.2406142316962111</v>
      </c>
      <c r="G125" s="29">
        <f>G123/$J123</f>
        <v>0.56819012097527066</v>
      </c>
      <c r="H125" s="29">
        <f>H123/$J123</f>
        <v>7.3654240303233434E-2</v>
      </c>
      <c r="I125" s="29">
        <f>I123/$J123</f>
        <v>0.11754140702528482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13574.5</v>
      </c>
      <c r="G129" s="7">
        <f>0.9*$J139</f>
        <v>122170.5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9">0.1*$J132</f>
        <v>0</v>
      </c>
      <c r="G132" s="7">
        <f t="shared" ref="G132:G137" si="10">0.9*$J132</f>
        <v>0</v>
      </c>
      <c r="H132" s="7">
        <v>0</v>
      </c>
      <c r="I132" s="7">
        <v>0</v>
      </c>
      <c r="J132" s="7"/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9"/>
        <v>0</v>
      </c>
      <c r="G133" s="7">
        <f t="shared" si="10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9"/>
        <v>0</v>
      </c>
      <c r="G134" s="7">
        <f t="shared" si="10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9"/>
        <v>0</v>
      </c>
      <c r="G135" s="7">
        <f t="shared" si="10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>0.1*$J136</f>
        <v>2992.5</v>
      </c>
      <c r="G136" s="7">
        <f t="shared" si="10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9"/>
        <v>10582</v>
      </c>
      <c r="G137" s="7">
        <f t="shared" si="10"/>
        <v>95238</v>
      </c>
      <c r="H137" s="7">
        <v>0</v>
      </c>
      <c r="I137" s="7">
        <v>0</v>
      </c>
      <c r="J137" s="79">
        <f>J107+J109+J112</f>
        <v>105820</v>
      </c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135745</v>
      </c>
      <c r="K139" s="3" t="s">
        <v>175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F71E-6923-4496-AD20-A12ED00336CE}">
  <dimension ref="A1:K139"/>
  <sheetViews>
    <sheetView topLeftCell="A53" zoomScale="60" zoomScaleNormal="60" workbookViewId="0">
      <pane xSplit="2" topLeftCell="C1" activePane="topRight" state="frozen"/>
      <selection activeCell="A33" sqref="A33"/>
      <selection pane="topRight" activeCell="F106" sqref="F106:J118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300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7876751.0566500006</v>
      </c>
      <c r="G4" s="17">
        <f t="shared" ref="G4:I4" si="0">SUBTOTAL(9,G9:G118)</f>
        <v>18683299.790580001</v>
      </c>
      <c r="H4" s="17">
        <f t="shared" si="0"/>
        <v>2341300.41176</v>
      </c>
      <c r="I4" s="17">
        <f t="shared" si="0"/>
        <v>3841067.3824200002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5" t="s">
        <v>46</v>
      </c>
      <c r="C10" s="58"/>
      <c r="D10" s="76" t="s">
        <v>165</v>
      </c>
      <c r="E10" s="56" t="s">
        <v>169</v>
      </c>
      <c r="F10" s="126" t="s">
        <v>3</v>
      </c>
      <c r="G10" s="127">
        <v>53400</v>
      </c>
      <c r="H10" s="126" t="s">
        <v>3</v>
      </c>
      <c r="I10" s="126" t="s">
        <v>3</v>
      </c>
      <c r="J10" s="34">
        <f>SUM(F10:I10)</f>
        <v>53400</v>
      </c>
      <c r="K10" s="33" t="s">
        <v>289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1720</v>
      </c>
      <c r="H11" s="83">
        <v>0</v>
      </c>
      <c r="I11" s="83">
        <v>0</v>
      </c>
      <c r="J11" s="46">
        <f t="shared" ref="J11:J30" si="1">SUM(F11:I11)</f>
        <v>1720</v>
      </c>
      <c r="K11" s="45"/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1690</v>
      </c>
      <c r="H12" s="83">
        <v>0</v>
      </c>
      <c r="I12" s="83">
        <v>0</v>
      </c>
      <c r="J12" s="46">
        <f t="shared" si="1"/>
        <v>1690</v>
      </c>
      <c r="K12" s="45"/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83">
        <v>0</v>
      </c>
      <c r="G13" s="83">
        <v>1994</v>
      </c>
      <c r="H13" s="83">
        <v>0</v>
      </c>
      <c r="I13" s="83">
        <v>0</v>
      </c>
      <c r="J13" s="46">
        <f t="shared" si="1"/>
        <v>1994</v>
      </c>
      <c r="K13" s="45" t="s">
        <v>251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83">
        <v>22690</v>
      </c>
      <c r="H14" s="83">
        <v>0</v>
      </c>
      <c r="I14" s="83">
        <v>0</v>
      </c>
      <c r="J14" s="46">
        <f t="shared" si="1"/>
        <v>22690</v>
      </c>
      <c r="K14" s="45"/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83">
        <v>148</v>
      </c>
      <c r="H15" s="83">
        <v>0</v>
      </c>
      <c r="I15" s="83">
        <v>0</v>
      </c>
      <c r="J15" s="46">
        <f t="shared" si="1"/>
        <v>148</v>
      </c>
      <c r="K15" s="45"/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3041</v>
      </c>
      <c r="H16" s="56">
        <v>0</v>
      </c>
      <c r="I16" s="56">
        <v>0</v>
      </c>
      <c r="J16" s="46">
        <f t="shared" si="1"/>
        <v>3041</v>
      </c>
      <c r="K16" s="45"/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18829</v>
      </c>
      <c r="H17" s="56">
        <v>0</v>
      </c>
      <c r="I17" s="56">
        <v>0</v>
      </c>
      <c r="J17" s="46">
        <f t="shared" si="1"/>
        <v>18829</v>
      </c>
      <c r="K17" s="45"/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20039.2</v>
      </c>
      <c r="G18" s="19">
        <v>43628.05</v>
      </c>
      <c r="H18" s="19">
        <v>0</v>
      </c>
      <c r="I18" s="19">
        <v>94771.3</v>
      </c>
      <c r="J18" s="24">
        <f t="shared" si="1"/>
        <v>158438.54999999999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16867</v>
      </c>
      <c r="H19" s="83">
        <v>0</v>
      </c>
      <c r="I19" s="83">
        <v>0</v>
      </c>
      <c r="J19" s="46">
        <f t="shared" si="1"/>
        <v>16867</v>
      </c>
      <c r="K19" s="45"/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83">
        <v>0</v>
      </c>
      <c r="G20" s="83">
        <v>1734</v>
      </c>
      <c r="H20" s="83">
        <v>0</v>
      </c>
      <c r="I20" s="83">
        <v>0</v>
      </c>
      <c r="J20" s="46">
        <f t="shared" si="1"/>
        <v>1734</v>
      </c>
      <c r="K20" s="45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33">
        <v>0</v>
      </c>
      <c r="G21" s="33">
        <v>90000</v>
      </c>
      <c r="H21" s="33">
        <v>0</v>
      </c>
      <c r="I21" s="33">
        <v>0</v>
      </c>
      <c r="J21" s="34">
        <f>'17'!J21</f>
        <v>85000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3140</v>
      </c>
      <c r="H22" s="45">
        <v>0</v>
      </c>
      <c r="I22" s="45">
        <v>0</v>
      </c>
      <c r="J22" s="46">
        <f t="shared" si="1"/>
        <v>3140</v>
      </c>
      <c r="K22" s="45"/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18256.86393</v>
      </c>
      <c r="G23" s="22">
        <f>36860.83156+10807.83156</f>
        <v>47668.663119999997</v>
      </c>
      <c r="H23" s="22">
        <v>0</v>
      </c>
      <c r="I23" s="22">
        <v>0</v>
      </c>
      <c r="J23" s="24">
        <f t="shared" si="1"/>
        <v>65925.527050000004</v>
      </c>
      <c r="K23" s="2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833</v>
      </c>
      <c r="H24" s="45">
        <v>0</v>
      </c>
      <c r="I24" s="45">
        <v>0</v>
      </c>
      <c r="J24" s="46">
        <f t="shared" si="1"/>
        <v>833</v>
      </c>
      <c r="K24" s="45"/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7243.9024300000001</v>
      </c>
      <c r="G25" s="22">
        <v>36219.512179999998</v>
      </c>
      <c r="H25" s="19">
        <v>4829.26829</v>
      </c>
      <c r="I25" s="19">
        <v>128292.68292000001</v>
      </c>
      <c r="J25" s="24">
        <f t="shared" si="1"/>
        <v>176585.36582000001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16845</v>
      </c>
      <c r="H26" s="83">
        <v>0</v>
      </c>
      <c r="I26" s="83">
        <v>0</v>
      </c>
      <c r="J26" s="46">
        <f t="shared" si="1"/>
        <v>16845</v>
      </c>
      <c r="K26" s="45"/>
    </row>
    <row r="27" spans="1:11" s="66" customFormat="1" ht="13.9" x14ac:dyDescent="0.4">
      <c r="A27" s="64"/>
      <c r="B27" s="23" t="s">
        <v>106</v>
      </c>
      <c r="C27" s="69" t="s">
        <v>184</v>
      </c>
      <c r="D27" s="69"/>
      <c r="E27" s="23" t="s">
        <v>55</v>
      </c>
      <c r="F27" s="112">
        <v>13999.525</v>
      </c>
      <c r="G27" s="113">
        <v>120697.5</v>
      </c>
      <c r="H27" s="113">
        <v>2021.25</v>
      </c>
      <c r="I27" s="113">
        <v>0</v>
      </c>
      <c r="J27" s="114">
        <f t="shared" si="1"/>
        <v>136718.27499999999</v>
      </c>
      <c r="K27" s="80"/>
    </row>
    <row r="28" spans="1:11" s="66" customFormat="1" ht="13.9" x14ac:dyDescent="0.4">
      <c r="A28" s="64"/>
      <c r="B28" s="72" t="s">
        <v>217</v>
      </c>
      <c r="C28" s="76"/>
      <c r="D28" s="71" t="s">
        <v>165</v>
      </c>
      <c r="E28" s="72" t="s">
        <v>169</v>
      </c>
      <c r="F28" s="165" t="s">
        <v>3</v>
      </c>
      <c r="G28" s="165">
        <v>12700</v>
      </c>
      <c r="H28" s="165" t="s">
        <v>3</v>
      </c>
      <c r="I28" s="165" t="s">
        <v>3</v>
      </c>
      <c r="J28" s="34">
        <f>SUM(F28:I28)</f>
        <v>12700</v>
      </c>
      <c r="K28" s="120" t="s">
        <v>251</v>
      </c>
    </row>
    <row r="29" spans="1:11" s="66" customFormat="1" ht="13.9" x14ac:dyDescent="0.4">
      <c r="A29" s="64"/>
      <c r="B29" s="72" t="s">
        <v>197</v>
      </c>
      <c r="C29" s="76"/>
      <c r="D29" s="71" t="s">
        <v>186</v>
      </c>
      <c r="E29" s="72" t="s">
        <v>187</v>
      </c>
      <c r="F29" s="45">
        <v>0</v>
      </c>
      <c r="G29" s="83">
        <v>221</v>
      </c>
      <c r="H29" s="45">
        <v>0</v>
      </c>
      <c r="I29" s="45">
        <v>0</v>
      </c>
      <c r="J29" s="147">
        <f t="shared" si="1"/>
        <v>221</v>
      </c>
      <c r="K29" s="45"/>
    </row>
    <row r="30" spans="1:11" s="66" customFormat="1" ht="13.9" x14ac:dyDescent="0.4">
      <c r="A30" s="64"/>
      <c r="B30" s="72" t="s">
        <v>198</v>
      </c>
      <c r="C30" s="76"/>
      <c r="D30" s="71" t="s">
        <v>186</v>
      </c>
      <c r="E30" s="72" t="s">
        <v>187</v>
      </c>
      <c r="F30" s="45">
        <v>0</v>
      </c>
      <c r="G30" s="83">
        <v>594</v>
      </c>
      <c r="H30" s="45">
        <v>0</v>
      </c>
      <c r="I30" s="45">
        <v>0</v>
      </c>
      <c r="J30" s="147">
        <f t="shared" si="1"/>
        <v>594</v>
      </c>
      <c r="K30" s="45"/>
    </row>
    <row r="31" spans="1:11" ht="13.9" x14ac:dyDescent="0.4">
      <c r="A31" s="41"/>
      <c r="B31" s="56" t="s">
        <v>107</v>
      </c>
      <c r="C31" s="76"/>
      <c r="D31" s="76" t="s">
        <v>165</v>
      </c>
      <c r="E31" s="56" t="s">
        <v>56</v>
      </c>
      <c r="F31" s="126" t="s">
        <v>3</v>
      </c>
      <c r="G31" s="127">
        <v>28200</v>
      </c>
      <c r="H31" s="126" t="s">
        <v>3</v>
      </c>
      <c r="I31" s="126" t="s">
        <v>3</v>
      </c>
      <c r="J31" s="34">
        <f>SUM(F31:I31)</f>
        <v>28200</v>
      </c>
      <c r="K31" s="120" t="s">
        <v>273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66"/>
      <c r="G32" s="166"/>
      <c r="H32" s="166"/>
      <c r="I32" s="166"/>
      <c r="J32" s="166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102">
        <v>0</v>
      </c>
      <c r="G33" s="102">
        <v>0</v>
      </c>
      <c r="H33" s="102">
        <v>0</v>
      </c>
      <c r="I33" s="102">
        <v>0</v>
      </c>
      <c r="J33" s="3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62185.277999999998</v>
      </c>
      <c r="G34" s="22">
        <v>124370.556</v>
      </c>
      <c r="H34" s="22">
        <v>58527.321000000004</v>
      </c>
      <c r="I34" s="22">
        <v>0</v>
      </c>
      <c r="J34" s="24">
        <f>SUM(F34:I34)</f>
        <v>245083.155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245107.829</v>
      </c>
      <c r="G35" s="22">
        <v>1162564.9750000001</v>
      </c>
      <c r="H35" s="22">
        <v>482402.58899999998</v>
      </c>
      <c r="I35" s="22">
        <v>9553.7549999999992</v>
      </c>
      <c r="J35" s="24">
        <f>SUM(F35:I35)</f>
        <v>1899629.1479999998</v>
      </c>
      <c r="K35" s="8" t="s">
        <v>317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67"/>
      <c r="G36" s="167"/>
      <c r="H36" s="167"/>
      <c r="I36" s="167"/>
      <c r="J36" s="167"/>
      <c r="K36" s="61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37000.425999999999</v>
      </c>
      <c r="G37" s="45">
        <v>139646.93</v>
      </c>
      <c r="H37" s="45">
        <v>0</v>
      </c>
      <c r="I37" s="45">
        <v>0</v>
      </c>
      <c r="J37" s="46">
        <f t="shared" ref="J37:J54" si="2">SUM(F37:I37)</f>
        <v>176647.356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136</v>
      </c>
      <c r="G38" s="45">
        <v>15329</v>
      </c>
      <c r="H38" s="45">
        <v>0</v>
      </c>
      <c r="I38" s="45">
        <v>0</v>
      </c>
      <c r="J38" s="46">
        <f t="shared" si="2"/>
        <v>15465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58769.154999999999</v>
      </c>
      <c r="G39" s="45">
        <v>813775.32700000005</v>
      </c>
      <c r="H39" s="45">
        <v>31618.973000000002</v>
      </c>
      <c r="I39" s="45">
        <v>266755.50199999998</v>
      </c>
      <c r="J39" s="46">
        <f t="shared" si="2"/>
        <v>1170918.9569999999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28848.421999999999</v>
      </c>
      <c r="G40" s="45">
        <v>163961.117</v>
      </c>
      <c r="H40" s="45">
        <v>0</v>
      </c>
      <c r="I40" s="45">
        <v>0</v>
      </c>
      <c r="J40" s="46">
        <f t="shared" si="2"/>
        <v>192809.53899999999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7561.49</v>
      </c>
      <c r="G41" s="45">
        <v>94805.793999999994</v>
      </c>
      <c r="H41" s="45">
        <v>0</v>
      </c>
      <c r="I41" s="45">
        <v>8500</v>
      </c>
      <c r="J41" s="46">
        <f t="shared" si="2"/>
        <v>110867.284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1583.4849999999999</v>
      </c>
      <c r="G42" s="45">
        <v>12213.555</v>
      </c>
      <c r="H42" s="45">
        <v>0</v>
      </c>
      <c r="I42" s="45">
        <v>0</v>
      </c>
      <c r="J42" s="46">
        <f t="shared" si="2"/>
        <v>13797.04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2702.6750000000002</v>
      </c>
      <c r="G43" s="45">
        <v>19935.682000000001</v>
      </c>
      <c r="H43" s="45">
        <v>0</v>
      </c>
      <c r="I43" s="45">
        <v>0</v>
      </c>
      <c r="J43" s="46">
        <f t="shared" si="2"/>
        <v>22638.357</v>
      </c>
      <c r="K43" s="56" t="s">
        <v>167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27314.403999999999</v>
      </c>
      <c r="G44" s="83">
        <v>59513.341</v>
      </c>
      <c r="H44" s="83">
        <v>0</v>
      </c>
      <c r="I44" s="83">
        <v>2000</v>
      </c>
      <c r="J44" s="46">
        <f t="shared" si="2"/>
        <v>88827.744999999995</v>
      </c>
      <c r="K44" s="56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1300</v>
      </c>
      <c r="G45" s="83">
        <v>16015.02</v>
      </c>
      <c r="H45" s="83">
        <v>0</v>
      </c>
      <c r="I45" s="83">
        <v>0</v>
      </c>
      <c r="J45" s="46">
        <f>SUM(F45:I45)</f>
        <v>17315.02</v>
      </c>
      <c r="K45" s="56" t="s">
        <v>208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880.39200000000005</v>
      </c>
      <c r="G46" s="83">
        <v>29903.574000000001</v>
      </c>
      <c r="H46" s="83">
        <v>0</v>
      </c>
      <c r="I46" s="83">
        <v>0</v>
      </c>
      <c r="J46" s="46">
        <f t="shared" si="2"/>
        <v>30783.966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895.01199999999994</v>
      </c>
      <c r="G47" s="83">
        <v>9339.7960000000003</v>
      </c>
      <c r="H47" s="83">
        <v>0</v>
      </c>
      <c r="I47" s="83">
        <v>0</v>
      </c>
      <c r="J47" s="46">
        <f t="shared" si="2"/>
        <v>10234.808000000001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439972.47600000002</v>
      </c>
      <c r="G48" s="83">
        <v>512204.783</v>
      </c>
      <c r="H48" s="83">
        <v>0</v>
      </c>
      <c r="I48" s="83">
        <v>275000</v>
      </c>
      <c r="J48" s="46">
        <f t="shared" si="2"/>
        <v>1227177.2590000001</v>
      </c>
      <c r="K48" s="56" t="s">
        <v>307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4169.4690000000001</v>
      </c>
      <c r="H49" s="83">
        <v>0</v>
      </c>
      <c r="I49" s="83">
        <v>0</v>
      </c>
      <c r="J49" s="46">
        <f t="shared" si="2"/>
        <v>4169.4690000000001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15960.277</v>
      </c>
      <c r="G50" s="83">
        <v>25221.23</v>
      </c>
      <c r="H50" s="83">
        <v>0</v>
      </c>
      <c r="I50" s="83">
        <v>0</v>
      </c>
      <c r="J50" s="46">
        <f t="shared" si="2"/>
        <v>41181.506999999998</v>
      </c>
      <c r="K50" s="56" t="s">
        <v>240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1800</v>
      </c>
      <c r="G51" s="83">
        <v>18922.407999999999</v>
      </c>
      <c r="H51" s="83">
        <v>0</v>
      </c>
      <c r="I51" s="83">
        <v>0</v>
      </c>
      <c r="J51" s="46">
        <f t="shared" si="2"/>
        <v>20722.407999999999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28102.371999999999</v>
      </c>
      <c r="G52" s="83">
        <v>66901.752999999997</v>
      </c>
      <c r="H52" s="83">
        <v>0</v>
      </c>
      <c r="I52" s="83">
        <v>4500</v>
      </c>
      <c r="J52" s="46">
        <f t="shared" si="2"/>
        <v>99504.125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31032.883000000002</v>
      </c>
      <c r="H53" s="83">
        <v>0</v>
      </c>
      <c r="I53" s="83">
        <v>0</v>
      </c>
      <c r="J53" s="46">
        <f t="shared" si="2"/>
        <v>41532.883000000002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154" t="s">
        <v>283</v>
      </c>
      <c r="F54" s="133">
        <v>3000</v>
      </c>
      <c r="G54" s="133">
        <v>31400</v>
      </c>
      <c r="H54" s="133">
        <v>0</v>
      </c>
      <c r="I54" s="133">
        <v>80000</v>
      </c>
      <c r="J54" s="134">
        <f t="shared" si="2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67"/>
      <c r="G55" s="167"/>
      <c r="H55" s="167"/>
      <c r="I55" s="167"/>
      <c r="J55" s="167"/>
      <c r="K55" s="61"/>
    </row>
    <row r="56" spans="1:11" ht="13.9" x14ac:dyDescent="0.4">
      <c r="A56" s="39"/>
      <c r="B56" s="23" t="s">
        <v>113</v>
      </c>
      <c r="C56" s="69" t="s">
        <v>184</v>
      </c>
      <c r="D56" s="69"/>
      <c r="E56" s="23" t="s">
        <v>59</v>
      </c>
      <c r="F56" s="22">
        <v>75250</v>
      </c>
      <c r="G56" s="22">
        <v>240000</v>
      </c>
      <c r="H56" s="22">
        <v>47000</v>
      </c>
      <c r="I56" s="22">
        <v>0</v>
      </c>
      <c r="J56" s="24">
        <f t="shared" ref="J56:J65" si="3">SUM(F56:I56)</f>
        <v>362250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925261.95600000001</v>
      </c>
      <c r="G57" s="22">
        <v>2645961.1889999998</v>
      </c>
      <c r="H57" s="22">
        <v>0</v>
      </c>
      <c r="I57" s="22">
        <v>0</v>
      </c>
      <c r="J57" s="24">
        <f>SUM(F57:I57)</f>
        <v>3571223.1449999996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27641.526999999998</v>
      </c>
      <c r="G58" s="22">
        <v>130512.29399999999</v>
      </c>
      <c r="H58" s="22">
        <v>0</v>
      </c>
      <c r="I58" s="22">
        <v>0</v>
      </c>
      <c r="J58" s="24">
        <f t="shared" si="3"/>
        <v>158153.821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50988.332999999999</v>
      </c>
      <c r="G59" s="22">
        <v>107329.61500000001</v>
      </c>
      <c r="H59" s="22">
        <v>21703.973999999998</v>
      </c>
      <c r="I59" s="22">
        <v>0</v>
      </c>
      <c r="J59" s="24">
        <f t="shared" si="3"/>
        <v>180021.92199999999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57000</v>
      </c>
      <c r="G60" s="22">
        <v>419000</v>
      </c>
      <c r="H60" s="22">
        <v>9000</v>
      </c>
      <c r="I60" s="22">
        <v>52000</v>
      </c>
      <c r="J60" s="24">
        <f t="shared" si="3"/>
        <v>537000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68501</v>
      </c>
      <c r="G61" s="45">
        <v>139197</v>
      </c>
      <c r="H61" s="45">
        <v>0</v>
      </c>
      <c r="I61" s="45">
        <v>0</v>
      </c>
      <c r="J61" s="46">
        <f>SUM(F61:I61)</f>
        <v>207698</v>
      </c>
      <c r="K61" s="45"/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13681</v>
      </c>
      <c r="G62" s="22">
        <v>50255</v>
      </c>
      <c r="H62" s="22">
        <v>0</v>
      </c>
      <c r="I62" s="22">
        <v>0</v>
      </c>
      <c r="J62" s="24">
        <f t="shared" si="3"/>
        <v>63936</v>
      </c>
      <c r="K62" s="22" t="s">
        <v>310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528674</v>
      </c>
      <c r="G63" s="19">
        <v>1587096</v>
      </c>
      <c r="H63" s="19">
        <v>62797</v>
      </c>
      <c r="I63" s="19">
        <v>121886</v>
      </c>
      <c r="J63" s="24">
        <f t="shared" si="3"/>
        <v>2300453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6415.1840000000002</v>
      </c>
      <c r="G64" s="19">
        <v>26761.093000000001</v>
      </c>
      <c r="H64" s="19">
        <v>2043.623</v>
      </c>
      <c r="I64" s="9" t="s">
        <v>3</v>
      </c>
      <c r="J64" s="24">
        <f t="shared" si="3"/>
        <v>35219.9</v>
      </c>
      <c r="K64" s="102"/>
    </row>
    <row r="65" spans="1:11" ht="13.9" x14ac:dyDescent="0.4">
      <c r="A65" s="39"/>
      <c r="B65" s="72" t="s">
        <v>118</v>
      </c>
      <c r="C65" s="71" t="s">
        <v>184</v>
      </c>
      <c r="D65" s="71"/>
      <c r="E65" s="72" t="s">
        <v>205</v>
      </c>
      <c r="F65" s="33">
        <f>'16'!F65</f>
        <v>700</v>
      </c>
      <c r="G65" s="33">
        <f>'16'!G65</f>
        <v>19095</v>
      </c>
      <c r="H65" s="33">
        <f>'16'!H65</f>
        <v>400</v>
      </c>
      <c r="I65" s="33">
        <f>'16'!I65</f>
        <v>0</v>
      </c>
      <c r="J65" s="34">
        <f t="shared" si="3"/>
        <v>20195</v>
      </c>
      <c r="K65" s="33" t="s">
        <v>251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225425.48499999999</v>
      </c>
      <c r="G66" s="22">
        <v>267480.84600000002</v>
      </c>
      <c r="H66" s="22">
        <v>9145.9950000000008</v>
      </c>
      <c r="I66" s="19">
        <v>47524.794999999998</v>
      </c>
      <c r="J66" s="24">
        <f>SUM(F66:I66)</f>
        <v>549577.12100000004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57643.252</v>
      </c>
      <c r="G67" s="22">
        <v>122279.91</v>
      </c>
      <c r="H67" s="22">
        <v>0</v>
      </c>
      <c r="I67" s="22">
        <v>107307.97199999999</v>
      </c>
      <c r="J67" s="24">
        <f t="shared" ref="J67" si="4">SUM(F67:I67)</f>
        <v>287231.13400000002</v>
      </c>
      <c r="K67" s="24"/>
    </row>
    <row r="68" spans="1:11" ht="13.9" x14ac:dyDescent="0.4">
      <c r="A68" s="39"/>
      <c r="B68" s="2" t="s">
        <v>291</v>
      </c>
      <c r="C68" s="13" t="s">
        <v>184</v>
      </c>
      <c r="D68" s="13"/>
      <c r="E68" s="2" t="s">
        <v>292</v>
      </c>
      <c r="F68" s="33">
        <v>316.01530000000002</v>
      </c>
      <c r="G68" s="33">
        <v>1804.5646300000001</v>
      </c>
      <c r="H68" s="33">
        <v>0</v>
      </c>
      <c r="I68" s="33">
        <v>0</v>
      </c>
      <c r="J68" s="34">
        <f t="shared" ref="J68" si="5">SUM(F68:I68)</f>
        <v>2120.5799299999999</v>
      </c>
      <c r="K68" s="24"/>
    </row>
    <row r="69" spans="1:11" ht="13.9" x14ac:dyDescent="0.4">
      <c r="A69" s="39"/>
      <c r="B69" s="23" t="s">
        <v>120</v>
      </c>
      <c r="C69" s="69" t="s">
        <v>184</v>
      </c>
      <c r="D69" s="69"/>
      <c r="E69" s="23" t="s">
        <v>66</v>
      </c>
      <c r="F69" s="22">
        <v>19760.946</v>
      </c>
      <c r="G69" s="22">
        <v>54216.451000000001</v>
      </c>
      <c r="H69" s="22">
        <v>4321.473</v>
      </c>
      <c r="I69" s="22">
        <v>0</v>
      </c>
      <c r="J69" s="24">
        <f>SUM(F69:I69)</f>
        <v>78298.87</v>
      </c>
      <c r="K69" s="33"/>
    </row>
    <row r="70" spans="1:11" ht="13.9" x14ac:dyDescent="0.4">
      <c r="A70" s="39"/>
      <c r="B70" s="8" t="s">
        <v>161</v>
      </c>
      <c r="C70" s="38"/>
      <c r="D70" s="38"/>
      <c r="E70" s="8" t="s">
        <v>160</v>
      </c>
      <c r="F70" s="19">
        <v>24711.123080000001</v>
      </c>
      <c r="G70" s="19">
        <v>32370.153760000001</v>
      </c>
      <c r="H70" s="19">
        <v>133</v>
      </c>
      <c r="I70" s="19">
        <f>'16'!I70</f>
        <v>0</v>
      </c>
      <c r="J70" s="24">
        <f>SUM(F70:I70)</f>
        <v>57214.276840000006</v>
      </c>
      <c r="K70" s="120"/>
    </row>
    <row r="71" spans="1:11" ht="13.9" x14ac:dyDescent="0.4">
      <c r="A71" s="39"/>
      <c r="B71" s="23" t="s">
        <v>121</v>
      </c>
      <c r="C71" s="69" t="s">
        <v>184</v>
      </c>
      <c r="D71" s="69"/>
      <c r="E71" s="23" t="s">
        <v>67</v>
      </c>
      <c r="F71" s="22">
        <v>698750</v>
      </c>
      <c r="G71" s="22">
        <v>273210</v>
      </c>
      <c r="H71" s="22" t="s">
        <v>16</v>
      </c>
      <c r="I71" s="9" t="s">
        <v>3</v>
      </c>
      <c r="J71" s="24">
        <f>SUM(F71:I71)</f>
        <v>971960</v>
      </c>
      <c r="K71" s="22" t="s">
        <v>315</v>
      </c>
    </row>
    <row r="72" spans="1:11" ht="13.9" x14ac:dyDescent="0.4">
      <c r="A72" s="39"/>
      <c r="B72" s="23" t="s">
        <v>162</v>
      </c>
      <c r="C72" s="69"/>
      <c r="D72" s="69"/>
      <c r="E72" s="23" t="s">
        <v>182</v>
      </c>
      <c r="F72" s="22">
        <v>13916.156000000001</v>
      </c>
      <c r="G72" s="22">
        <v>175319.74100000001</v>
      </c>
      <c r="H72" s="22">
        <v>0</v>
      </c>
      <c r="I72" s="22">
        <v>0</v>
      </c>
      <c r="J72" s="24">
        <f>SUM(F72:I72)</f>
        <v>189235.897</v>
      </c>
      <c r="K72" s="45"/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83">
        <v>102468.58900000001</v>
      </c>
      <c r="G73" s="83">
        <v>120363.40300000001</v>
      </c>
      <c r="H73" s="83">
        <f>'16'!H73</f>
        <v>0</v>
      </c>
      <c r="I73" s="83">
        <f>'16'!I73</f>
        <v>0</v>
      </c>
      <c r="J73" s="46">
        <f>SUM(F73:I73)</f>
        <v>222831.99200000003</v>
      </c>
      <c r="K73" s="45"/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68"/>
      <c r="G74" s="168"/>
      <c r="H74" s="168"/>
      <c r="I74" s="168"/>
      <c r="J74" s="168"/>
      <c r="K74" s="60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0</v>
      </c>
      <c r="G75" s="19">
        <v>606.46699999999998</v>
      </c>
      <c r="H75" s="19">
        <v>117.468</v>
      </c>
      <c r="I75" s="19">
        <v>0</v>
      </c>
      <c r="J75" s="24">
        <f>SUM(F75:I75)</f>
        <v>723.93499999999995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153876</v>
      </c>
      <c r="H76" s="19">
        <v>0</v>
      </c>
      <c r="I76" s="19">
        <v>0</v>
      </c>
      <c r="J76" s="24">
        <f>SUM(F76:I76)</f>
        <v>153876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26" t="s">
        <v>3</v>
      </c>
      <c r="G77" s="126" t="s">
        <v>3</v>
      </c>
      <c r="H77" s="126" t="s">
        <v>3</v>
      </c>
      <c r="I77" s="126" t="s">
        <v>3</v>
      </c>
      <c r="J77" s="34">
        <f>'15'!J77*(1-0.05)</f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70</v>
      </c>
      <c r="F78" s="22">
        <v>99895.152000000002</v>
      </c>
      <c r="G78" s="22">
        <v>324422.80300000001</v>
      </c>
      <c r="H78" s="22">
        <v>0</v>
      </c>
      <c r="I78" s="22">
        <v>0</v>
      </c>
      <c r="J78" s="24">
        <f>SUM(F78:I78)</f>
        <v>424317.95500000002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33">
        <v>4404.835</v>
      </c>
      <c r="G79" s="33">
        <v>11177.579</v>
      </c>
      <c r="H79" s="33">
        <v>776.52700000000004</v>
      </c>
      <c r="I79" s="33">
        <v>0</v>
      </c>
      <c r="J79" s="34">
        <f>SUM(F79:I79)</f>
        <v>16358.941000000001</v>
      </c>
      <c r="K79" s="120" t="s">
        <v>251</v>
      </c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29251.249</v>
      </c>
      <c r="G80" s="19">
        <v>5363.848</v>
      </c>
      <c r="H80" s="19">
        <v>8195.3250000000007</v>
      </c>
      <c r="I80" s="19">
        <v>309.58699999999999</v>
      </c>
      <c r="J80" s="24">
        <f>SUM(F80:I80)</f>
        <v>43120.009000000005</v>
      </c>
      <c r="K80" s="102"/>
    </row>
    <row r="81" spans="1:11" ht="13.9" x14ac:dyDescent="0.4">
      <c r="A81" s="40"/>
      <c r="B81" s="23" t="s">
        <v>125</v>
      </c>
      <c r="C81" s="69" t="s">
        <v>184</v>
      </c>
      <c r="D81" s="69"/>
      <c r="E81" s="23" t="s">
        <v>73</v>
      </c>
      <c r="F81" s="22">
        <v>14105.184999999999</v>
      </c>
      <c r="G81" s="22">
        <v>3751.6480000000001</v>
      </c>
      <c r="H81" s="22">
        <v>0</v>
      </c>
      <c r="I81" s="22">
        <v>0</v>
      </c>
      <c r="J81" s="24">
        <f>SUM(F81:I81)</f>
        <v>17856.832999999999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33">
        <f>'16'!F82</f>
        <v>500</v>
      </c>
      <c r="G82" s="33">
        <f>'16'!G82</f>
        <v>25650</v>
      </c>
      <c r="H82" s="33">
        <v>800</v>
      </c>
      <c r="I82" s="33">
        <v>0</v>
      </c>
      <c r="J82" s="34">
        <f>SUM(F82:I82)</f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ref="J83:J87" si="6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55118.243999999999</v>
      </c>
      <c r="H84" s="19">
        <v>0</v>
      </c>
      <c r="I84" s="19">
        <v>0</v>
      </c>
      <c r="J84" s="24">
        <f t="shared" si="6"/>
        <v>55118.243999999999</v>
      </c>
      <c r="K84" s="8" t="s">
        <v>269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348065.96500000003</v>
      </c>
      <c r="G85" s="22">
        <v>741093.39399999997</v>
      </c>
      <c r="H85" s="22">
        <v>0</v>
      </c>
      <c r="I85" s="22">
        <v>0</v>
      </c>
      <c r="J85" s="24">
        <f t="shared" si="6"/>
        <v>1089159.3589999999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172171</v>
      </c>
      <c r="G86" s="22">
        <v>1200434</v>
      </c>
      <c r="H86" s="22">
        <v>0</v>
      </c>
      <c r="I86" s="22">
        <v>0</v>
      </c>
      <c r="J86" s="24">
        <f t="shared" si="6"/>
        <v>1372605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15633.898999999999</v>
      </c>
      <c r="G87" s="22">
        <v>28402.266</v>
      </c>
      <c r="H87" s="22">
        <v>7433.25</v>
      </c>
      <c r="I87" s="22">
        <v>0</v>
      </c>
      <c r="J87" s="24">
        <f t="shared" si="6"/>
        <v>51469.415000000001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26" t="s">
        <v>3</v>
      </c>
      <c r="G88" s="126" t="s">
        <v>3</v>
      </c>
      <c r="H88" s="126" t="s">
        <v>3</v>
      </c>
      <c r="I88" s="126" t="s">
        <v>3</v>
      </c>
      <c r="J88" s="34">
        <f>'16'!J88</f>
        <v>10925</v>
      </c>
      <c r="K88" s="120" t="s">
        <v>251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33">
        <f>'16'!F89</f>
        <v>9100</v>
      </c>
      <c r="G89" s="33">
        <f>'16'!G89</f>
        <v>19000</v>
      </c>
      <c r="H89" s="33">
        <v>0</v>
      </c>
      <c r="I89" s="33">
        <v>0</v>
      </c>
      <c r="J89" s="34">
        <f>'16'!J89</f>
        <v>28100</v>
      </c>
      <c r="K89" s="120" t="s">
        <v>251</v>
      </c>
    </row>
    <row r="90" spans="1:11" ht="13.9" x14ac:dyDescent="0.4">
      <c r="A90" s="40"/>
      <c r="B90" s="23" t="s">
        <v>19</v>
      </c>
      <c r="C90" s="69" t="s">
        <v>184</v>
      </c>
      <c r="D90" s="69"/>
      <c r="E90" s="23" t="s">
        <v>82</v>
      </c>
      <c r="F90" s="22">
        <v>361040.41800000001</v>
      </c>
      <c r="G90" s="22">
        <v>396908.80599999998</v>
      </c>
      <c r="H90" s="22">
        <v>23321.245999999999</v>
      </c>
      <c r="I90" s="22">
        <v>85042.960999999996</v>
      </c>
      <c r="J90" s="24">
        <f t="shared" ref="J90:J100" si="7">SUM(F90:I90)</f>
        <v>866313.43099999998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260000</v>
      </c>
      <c r="G91" s="22">
        <v>391000</v>
      </c>
      <c r="H91" s="22">
        <v>0</v>
      </c>
      <c r="I91" s="19">
        <v>0</v>
      </c>
      <c r="J91" s="24">
        <f t="shared" si="7"/>
        <v>651000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1124200</v>
      </c>
      <c r="G92" s="22">
        <v>43450</v>
      </c>
      <c r="H92" s="22">
        <v>0</v>
      </c>
      <c r="I92" s="19">
        <v>104300</v>
      </c>
      <c r="J92" s="24">
        <f t="shared" si="7"/>
        <v>1271950</v>
      </c>
      <c r="K92" s="101" t="s">
        <v>239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16848.5</v>
      </c>
      <c r="G93" s="22">
        <v>127099</v>
      </c>
      <c r="H93" s="22">
        <v>4804.5</v>
      </c>
      <c r="I93" s="22">
        <v>8506.5</v>
      </c>
      <c r="J93" s="24">
        <f t="shared" si="7"/>
        <v>157258.5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45">
        <v>18253</v>
      </c>
      <c r="G94" s="45">
        <v>31763</v>
      </c>
      <c r="H94" s="83">
        <v>1537</v>
      </c>
      <c r="I94" s="45">
        <v>0</v>
      </c>
      <c r="J94" s="46">
        <f t="shared" si="7"/>
        <v>51553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33">
        <v>0</v>
      </c>
      <c r="G95" s="33">
        <v>0</v>
      </c>
      <c r="H95" s="33">
        <v>0</v>
      </c>
      <c r="I95" s="33">
        <v>0</v>
      </c>
      <c r="J95" s="34">
        <f t="shared" si="7"/>
        <v>0</v>
      </c>
      <c r="K95" s="120" t="s">
        <v>251</v>
      </c>
    </row>
    <row r="96" spans="1:11" ht="13.9" x14ac:dyDescent="0.4">
      <c r="A96" s="40"/>
      <c r="B96" s="72" t="s">
        <v>24</v>
      </c>
      <c r="C96" s="71" t="s">
        <v>238</v>
      </c>
      <c r="D96" s="71"/>
      <c r="E96" s="72" t="s">
        <v>178</v>
      </c>
      <c r="F96" s="45">
        <v>99910</v>
      </c>
      <c r="G96" s="45">
        <v>325700</v>
      </c>
      <c r="H96" s="45">
        <v>53710</v>
      </c>
      <c r="I96" s="45" t="str">
        <f>'16'!I96</f>
        <v>not available</v>
      </c>
      <c r="J96" s="46">
        <f t="shared" si="7"/>
        <v>479320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6748.3549999999996</v>
      </c>
      <c r="G97" s="22">
        <v>16396.582999999999</v>
      </c>
      <c r="H97" s="22">
        <v>2477.5529999999999</v>
      </c>
      <c r="I97" s="22">
        <v>0</v>
      </c>
      <c r="J97" s="24">
        <f t="shared" si="7"/>
        <v>25622.490999999998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143434.44931</v>
      </c>
      <c r="G98" s="22">
        <v>234178.37979000001</v>
      </c>
      <c r="H98" s="22">
        <v>16814.170870000002</v>
      </c>
      <c r="I98" s="22">
        <v>0</v>
      </c>
      <c r="J98" s="24">
        <f t="shared" si="7"/>
        <v>394426.99997</v>
      </c>
      <c r="K98" s="102"/>
    </row>
    <row r="99" spans="1:11" ht="13.9" x14ac:dyDescent="0.4">
      <c r="A99" s="40"/>
      <c r="B99" s="23" t="s">
        <v>137</v>
      </c>
      <c r="C99" s="69" t="s">
        <v>184</v>
      </c>
      <c r="D99" s="69"/>
      <c r="E99" s="23" t="s">
        <v>90</v>
      </c>
      <c r="F99" s="22">
        <v>36648.061000000002</v>
      </c>
      <c r="G99" s="22">
        <f>120875.547+33970.292</f>
        <v>154845.83900000001</v>
      </c>
      <c r="H99" s="22">
        <v>0</v>
      </c>
      <c r="I99" s="19">
        <v>0</v>
      </c>
      <c r="J99" s="24">
        <f t="shared" si="7"/>
        <v>191493.90000000002</v>
      </c>
      <c r="K99" s="22" t="s">
        <v>314</v>
      </c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263000</v>
      </c>
      <c r="H100" s="19">
        <v>0</v>
      </c>
      <c r="I100" s="19">
        <v>0</v>
      </c>
      <c r="J100" s="24">
        <f t="shared" si="7"/>
        <v>264000</v>
      </c>
      <c r="K100" s="163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79303.695000000007</v>
      </c>
      <c r="G101" s="19">
        <v>138127.397</v>
      </c>
      <c r="H101" s="19">
        <v>6629.7420000000002</v>
      </c>
      <c r="I101" s="19">
        <v>0</v>
      </c>
      <c r="J101" s="24">
        <f>SUM(F101:I101)</f>
        <v>224060.834</v>
      </c>
      <c r="K101" s="33"/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33">
        <f>'16'!F102</f>
        <v>1500</v>
      </c>
      <c r="G102" s="33">
        <f>'16'!G102</f>
        <v>183350</v>
      </c>
      <c r="H102" s="33">
        <f>'16'!H102</f>
        <v>300</v>
      </c>
      <c r="I102" s="33">
        <f>'16'!I102</f>
        <v>0</v>
      </c>
      <c r="J102" s="34">
        <f>'16'!J102</f>
        <v>185150</v>
      </c>
      <c r="K102" s="120" t="s">
        <v>251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449435.99</v>
      </c>
      <c r="G103" s="22">
        <v>831776.36300000001</v>
      </c>
      <c r="H103" s="22">
        <v>544839.62899999996</v>
      </c>
      <c r="I103" s="22">
        <v>1252606.4210000001</v>
      </c>
      <c r="J103" s="24">
        <f>SUM(F103:I103)</f>
        <v>3078658.4029999999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633137.55260000005</v>
      </c>
      <c r="G104" s="22">
        <v>1540588.9950999999</v>
      </c>
      <c r="H104" s="22">
        <v>933599.53460000001</v>
      </c>
      <c r="I104" s="22">
        <v>1192209.9065</v>
      </c>
      <c r="J104" s="24">
        <f>SUM(F104:I104)</f>
        <v>4299535.9888000004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68"/>
      <c r="G105" s="168"/>
      <c r="H105" s="168"/>
      <c r="I105" s="168"/>
      <c r="J105" s="168"/>
      <c r="K105" s="60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19480</v>
      </c>
      <c r="H106" s="68" t="s">
        <v>3</v>
      </c>
      <c r="I106" s="68" t="s">
        <v>3</v>
      </c>
      <c r="J106" s="46">
        <f>SUM(F106:I106)</f>
        <v>19480</v>
      </c>
      <c r="K106" s="45" t="s">
        <v>305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126" t="s">
        <v>3</v>
      </c>
      <c r="G107" s="127">
        <v>18000</v>
      </c>
      <c r="H107" s="126" t="s">
        <v>3</v>
      </c>
      <c r="I107" s="126" t="s">
        <v>3</v>
      </c>
      <c r="J107" s="34">
        <f>SUM(F107:I107)</f>
        <v>18000</v>
      </c>
      <c r="K107" s="120" t="s">
        <v>251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27390</v>
      </c>
      <c r="H108" s="68" t="s">
        <v>3</v>
      </c>
      <c r="I108" s="68" t="s">
        <v>3</v>
      </c>
      <c r="J108" s="46">
        <f>SUM(F108:I108)</f>
        <v>27390</v>
      </c>
      <c r="K108" s="45" t="s">
        <v>306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83">
        <v>53520</v>
      </c>
      <c r="H109" s="68" t="s">
        <v>3</v>
      </c>
      <c r="I109" s="68" t="s">
        <v>3</v>
      </c>
      <c r="J109" s="46">
        <f>SUM(F109:I109)</f>
        <v>53520</v>
      </c>
      <c r="K109" s="45" t="s">
        <v>305</v>
      </c>
    </row>
    <row r="110" spans="1:11" s="2" customFormat="1" ht="13.9" x14ac:dyDescent="0.4">
      <c r="A110" s="41"/>
      <c r="B110" s="72" t="s">
        <v>97</v>
      </c>
      <c r="C110" s="71" t="s">
        <v>184</v>
      </c>
      <c r="D110" s="71" t="s">
        <v>165</v>
      </c>
      <c r="E110" s="72" t="s">
        <v>96</v>
      </c>
      <c r="F110" s="83">
        <v>0</v>
      </c>
      <c r="G110" s="83">
        <v>37000</v>
      </c>
      <c r="H110" s="83">
        <v>0</v>
      </c>
      <c r="I110" s="83">
        <v>0</v>
      </c>
      <c r="J110" s="46">
        <f t="shared" ref="J110:J118" si="8">SUM(F110:I110)</f>
        <v>37000</v>
      </c>
      <c r="K110" s="45" t="s">
        <v>251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26">
        <v>2900</v>
      </c>
      <c r="G111" s="127">
        <v>13000</v>
      </c>
      <c r="H111" s="126" t="s">
        <v>3</v>
      </c>
      <c r="I111" s="126" t="s">
        <v>3</v>
      </c>
      <c r="J111" s="34">
        <f>SUM(F111:I111)</f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68" t="s">
        <v>3</v>
      </c>
      <c r="H112" s="68" t="s">
        <v>3</v>
      </c>
      <c r="I112" s="68" t="s">
        <v>3</v>
      </c>
      <c r="J112" s="46">
        <v>33360</v>
      </c>
      <c r="K112" s="45" t="s">
        <v>305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1860</v>
      </c>
      <c r="H113" s="68" t="s">
        <v>3</v>
      </c>
      <c r="I113" s="68" t="s">
        <v>3</v>
      </c>
      <c r="J113" s="46">
        <f t="shared" si="8"/>
        <v>1860</v>
      </c>
      <c r="K113" s="45" t="s">
        <v>305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26" t="s">
        <v>3</v>
      </c>
      <c r="G114" s="127">
        <v>300000</v>
      </c>
      <c r="H114" s="126" t="s">
        <v>3</v>
      </c>
      <c r="I114" s="126" t="s">
        <v>3</v>
      </c>
      <c r="J114" s="34">
        <f t="shared" si="8"/>
        <v>300000</v>
      </c>
      <c r="K114" s="120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236110</v>
      </c>
      <c r="H115" s="68" t="s">
        <v>3</v>
      </c>
      <c r="I115" s="68" t="s">
        <v>3</v>
      </c>
      <c r="J115" s="46">
        <f t="shared" si="8"/>
        <v>236110</v>
      </c>
      <c r="K115" s="45" t="s">
        <v>305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127">
        <v>19000</v>
      </c>
      <c r="G116" s="127">
        <v>21000</v>
      </c>
      <c r="H116" s="126" t="s">
        <v>3</v>
      </c>
      <c r="I116" s="126" t="s">
        <v>3</v>
      </c>
      <c r="J116" s="34">
        <f t="shared" si="8"/>
        <v>40000</v>
      </c>
      <c r="K116" s="120" t="s">
        <v>251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9" t="s">
        <v>3</v>
      </c>
      <c r="G117" s="19">
        <v>399590</v>
      </c>
      <c r="H117" s="9" t="s">
        <v>3</v>
      </c>
      <c r="I117" s="9" t="s">
        <v>3</v>
      </c>
      <c r="J117" s="24">
        <f t="shared" si="8"/>
        <v>399590</v>
      </c>
      <c r="K117" s="22" t="s">
        <v>305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68" t="s">
        <v>3</v>
      </c>
      <c r="G118" s="83">
        <v>22930</v>
      </c>
      <c r="H118" s="68" t="s">
        <v>3</v>
      </c>
      <c r="I118" s="68" t="s">
        <v>3</v>
      </c>
      <c r="J118" s="46">
        <f t="shared" si="8"/>
        <v>22930</v>
      </c>
      <c r="K118" s="45" t="s">
        <v>305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7876751.0566500006</v>
      </c>
      <c r="G120" s="21">
        <f>SUM(G10:G119)</f>
        <v>18683299.790580001</v>
      </c>
      <c r="H120" s="21">
        <f>SUM(H10:H119)</f>
        <v>2341300.41176</v>
      </c>
      <c r="I120" s="21">
        <f>SUM(I10:I119)</f>
        <v>3841067.3824200002</v>
      </c>
      <c r="J120" s="67">
        <f>SUM(J10:J119)</f>
        <v>32800703.641409997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10218051.46841</v>
      </c>
      <c r="G121" s="8"/>
      <c r="H121" s="8"/>
      <c r="I121" s="35"/>
      <c r="J121" s="22">
        <f>SUM(F120:I120)</f>
        <v>32742418.641410001</v>
      </c>
      <c r="K121" s="1">
        <f>J120-J121</f>
        <v>58284.999999996275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7879743.5566500006</v>
      </c>
      <c r="G123" s="86">
        <f>G120+G129</f>
        <v>18710232.290580001</v>
      </c>
      <c r="H123" s="86">
        <f>H120</f>
        <v>2341300.41176</v>
      </c>
      <c r="I123" s="86">
        <f>I120</f>
        <v>3841067.3824200002</v>
      </c>
      <c r="J123" s="86">
        <f>SUM(F123:I123)</f>
        <v>32772343.641410001</v>
      </c>
      <c r="K123" s="6">
        <f>J123-J120</f>
        <v>-28359.999999996275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10221043.96841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0.24043881764663999</v>
      </c>
      <c r="G125" s="29">
        <f>G123/$J123</f>
        <v>0.57091529660815588</v>
      </c>
      <c r="H125" s="29">
        <f>H123/$J123</f>
        <v>7.1441348149468745E-2</v>
      </c>
      <c r="I125" s="29">
        <f>I123/$J123</f>
        <v>0.11720453759573546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1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2992.5</v>
      </c>
      <c r="G129" s="7">
        <f>0.9*$J139</f>
        <v>26932.5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9">0.1*$J132</f>
        <v>0</v>
      </c>
      <c r="G132" s="7">
        <f t="shared" ref="G132:G137" si="10">0.9*$J132</f>
        <v>0</v>
      </c>
      <c r="H132" s="7">
        <v>0</v>
      </c>
      <c r="I132" s="7">
        <v>0</v>
      </c>
      <c r="J132" s="7"/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9"/>
        <v>0</v>
      </c>
      <c r="G133" s="7">
        <f t="shared" si="10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9"/>
        <v>0</v>
      </c>
      <c r="G134" s="7">
        <f t="shared" si="10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9"/>
        <v>0</v>
      </c>
      <c r="G135" s="7">
        <f t="shared" si="10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>0.1*$J136</f>
        <v>2992.5</v>
      </c>
      <c r="G136" s="7">
        <f t="shared" si="10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9"/>
        <v>0</v>
      </c>
      <c r="G137" s="7">
        <f t="shared" si="10"/>
        <v>0</v>
      </c>
      <c r="H137" s="7">
        <v>0</v>
      </c>
      <c r="I137" s="7">
        <v>0</v>
      </c>
      <c r="J137" s="79"/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29925</v>
      </c>
      <c r="K139" s="3" t="s">
        <v>175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C1431-3140-4C74-A17E-08AF1DB6345A}">
  <dimension ref="A1:K139"/>
  <sheetViews>
    <sheetView zoomScale="60" zoomScaleNormal="60" workbookViewId="0">
      <selection activeCell="F106" sqref="F106:J118"/>
    </sheetView>
  </sheetViews>
  <sheetFormatPr defaultColWidth="9.1328125" defaultRowHeight="12.75" x14ac:dyDescent="0.35"/>
  <cols>
    <col min="1" max="1" width="6.265625" style="37" customWidth="1"/>
    <col min="2" max="2" width="26.1328125" customWidth="1"/>
    <col min="3" max="3" width="15.265625" customWidth="1"/>
    <col min="4" max="4" width="13.265625" customWidth="1"/>
    <col min="5" max="5" width="49.86328125" customWidth="1"/>
    <col min="6" max="6" width="19.1328125" customWidth="1"/>
    <col min="7" max="7" width="18.3984375" customWidth="1"/>
    <col min="8" max="8" width="18.86328125" customWidth="1"/>
    <col min="9" max="9" width="18.59765625" customWidth="1"/>
    <col min="10" max="10" width="19.59765625" customWidth="1"/>
    <col min="11" max="11" width="44.59765625" customWidth="1"/>
  </cols>
  <sheetData>
    <row r="1" spans="1:11" ht="13.5" x14ac:dyDescent="0.35">
      <c r="B1" s="4"/>
      <c r="C1" s="4"/>
      <c r="D1" s="4"/>
      <c r="E1" s="4"/>
      <c r="F1" s="23"/>
      <c r="G1" s="23"/>
      <c r="H1" s="23"/>
      <c r="I1" s="23"/>
      <c r="J1" s="23"/>
      <c r="K1" s="23"/>
    </row>
    <row r="2" spans="1:11" ht="15" x14ac:dyDescent="0.4">
      <c r="B2" s="10" t="s">
        <v>0</v>
      </c>
      <c r="C2" s="10"/>
      <c r="D2" s="10"/>
      <c r="E2" s="10"/>
      <c r="F2" s="16"/>
      <c r="G2" s="22"/>
      <c r="H2" s="22"/>
      <c r="I2" s="22"/>
      <c r="J2" s="22"/>
      <c r="K2" s="22"/>
    </row>
    <row r="3" spans="1:11" ht="15" x14ac:dyDescent="0.4">
      <c r="B3" s="36" t="s">
        <v>302</v>
      </c>
      <c r="C3" s="36"/>
      <c r="D3" s="36"/>
      <c r="E3" s="36"/>
      <c r="F3" s="16"/>
      <c r="G3" s="22"/>
      <c r="H3" s="22"/>
      <c r="I3" s="22"/>
      <c r="J3" s="22"/>
      <c r="K3" s="22"/>
    </row>
    <row r="4" spans="1:11" ht="15" x14ac:dyDescent="0.4">
      <c r="B4" s="11" t="s">
        <v>1</v>
      </c>
      <c r="C4" s="11"/>
      <c r="D4" s="11"/>
      <c r="E4" s="11"/>
      <c r="F4" s="17">
        <f>SUBTOTAL(9,F9:F118)</f>
        <v>8549744.4193300009</v>
      </c>
      <c r="G4" s="17">
        <f t="shared" ref="G4:I4" si="0">SUBTOTAL(9,G9:G118)</f>
        <v>20822313.861000001</v>
      </c>
      <c r="H4" s="17">
        <f t="shared" si="0"/>
        <v>2961738.96361</v>
      </c>
      <c r="I4" s="17">
        <f t="shared" si="0"/>
        <v>4412304.3289999999</v>
      </c>
      <c r="J4" s="22"/>
      <c r="K4" s="22"/>
    </row>
    <row r="5" spans="1:11" ht="13.9" x14ac:dyDescent="0.4">
      <c r="B5" s="4"/>
      <c r="C5" s="4"/>
      <c r="D5" s="4"/>
      <c r="E5" s="4"/>
      <c r="F5" s="17"/>
      <c r="G5" s="22"/>
      <c r="H5" s="22"/>
      <c r="I5" s="22"/>
      <c r="J5" s="22"/>
      <c r="K5" s="22"/>
    </row>
    <row r="6" spans="1:11" ht="13.9" x14ac:dyDescent="0.4">
      <c r="B6" s="72" t="s">
        <v>176</v>
      </c>
      <c r="C6" s="12"/>
      <c r="D6" s="12"/>
      <c r="F6" s="84"/>
      <c r="G6" s="15"/>
      <c r="H6" s="15"/>
      <c r="I6" s="15"/>
      <c r="J6" s="15"/>
      <c r="K6" s="15"/>
    </row>
    <row r="7" spans="1:11" ht="13.9" x14ac:dyDescent="0.4">
      <c r="B7" s="13"/>
      <c r="C7" s="13" t="s">
        <v>170</v>
      </c>
      <c r="D7" s="13"/>
      <c r="E7" s="13"/>
      <c r="F7" s="15"/>
      <c r="G7" s="15"/>
      <c r="H7" s="15"/>
      <c r="I7" s="15"/>
      <c r="J7" s="15"/>
      <c r="K7" s="15"/>
    </row>
    <row r="8" spans="1:11" s="82" customFormat="1" ht="17.649999999999999" x14ac:dyDescent="0.5">
      <c r="B8" s="60" t="s">
        <v>51</v>
      </c>
      <c r="C8" s="54" t="s">
        <v>138</v>
      </c>
      <c r="D8" s="95" t="s">
        <v>163</v>
      </c>
      <c r="E8" s="60" t="s">
        <v>11</v>
      </c>
      <c r="F8" s="81" t="s">
        <v>14</v>
      </c>
      <c r="G8" s="81" t="s">
        <v>7</v>
      </c>
      <c r="H8" s="81" t="s">
        <v>8</v>
      </c>
      <c r="I8" s="81" t="s">
        <v>140</v>
      </c>
      <c r="J8" s="81" t="s">
        <v>4</v>
      </c>
      <c r="K8" s="81"/>
    </row>
    <row r="9" spans="1:11" s="63" customFormat="1" ht="17.649999999999999" x14ac:dyDescent="0.5">
      <c r="A9" s="62"/>
      <c r="B9" s="60" t="s">
        <v>49</v>
      </c>
      <c r="C9" s="12"/>
      <c r="D9" s="12"/>
      <c r="E9" s="51"/>
      <c r="F9" s="100"/>
      <c r="G9" s="100"/>
      <c r="H9" s="100"/>
      <c r="I9" s="100"/>
      <c r="J9" s="100"/>
      <c r="K9" s="100"/>
    </row>
    <row r="10" spans="1:11" s="59" customFormat="1" ht="15" x14ac:dyDescent="0.4">
      <c r="A10" s="57"/>
      <c r="B10" s="55" t="s">
        <v>46</v>
      </c>
      <c r="C10" s="58"/>
      <c r="D10" s="76" t="s">
        <v>165</v>
      </c>
      <c r="E10" s="56" t="s">
        <v>169</v>
      </c>
      <c r="F10" s="126" t="s">
        <v>3</v>
      </c>
      <c r="G10" s="127">
        <v>53400</v>
      </c>
      <c r="H10" s="126" t="s">
        <v>3</v>
      </c>
      <c r="I10" s="126" t="s">
        <v>3</v>
      </c>
      <c r="J10" s="34">
        <f>SUM(F10:I10)</f>
        <v>53400</v>
      </c>
      <c r="K10" s="33" t="s">
        <v>289</v>
      </c>
    </row>
    <row r="11" spans="1:11" s="59" customFormat="1" ht="15" x14ac:dyDescent="0.4">
      <c r="A11" s="57"/>
      <c r="B11" s="55" t="s">
        <v>185</v>
      </c>
      <c r="C11" s="58"/>
      <c r="D11" s="76" t="s">
        <v>186</v>
      </c>
      <c r="E11" s="56" t="s">
        <v>187</v>
      </c>
      <c r="F11" s="83">
        <v>0</v>
      </c>
      <c r="G11" s="83">
        <v>1702</v>
      </c>
      <c r="H11" s="83">
        <v>0</v>
      </c>
      <c r="I11" s="83">
        <v>0</v>
      </c>
      <c r="J11" s="46">
        <f t="shared" ref="J11:J30" si="1">SUM(F11:I11)</f>
        <v>1702</v>
      </c>
      <c r="K11" s="45"/>
    </row>
    <row r="12" spans="1:11" s="59" customFormat="1" ht="15" x14ac:dyDescent="0.4">
      <c r="A12" s="57"/>
      <c r="B12" s="55" t="s">
        <v>188</v>
      </c>
      <c r="C12" s="58"/>
      <c r="D12" s="76" t="s">
        <v>186</v>
      </c>
      <c r="E12" s="56" t="s">
        <v>187</v>
      </c>
      <c r="F12" s="83">
        <v>0</v>
      </c>
      <c r="G12" s="83">
        <v>3291</v>
      </c>
      <c r="H12" s="83">
        <v>0</v>
      </c>
      <c r="I12" s="83">
        <v>0</v>
      </c>
      <c r="J12" s="46">
        <f t="shared" si="1"/>
        <v>3291</v>
      </c>
      <c r="K12" s="45"/>
    </row>
    <row r="13" spans="1:11" s="59" customFormat="1" ht="15" x14ac:dyDescent="0.4">
      <c r="A13" s="57"/>
      <c r="B13" s="55" t="s">
        <v>189</v>
      </c>
      <c r="C13" s="58"/>
      <c r="D13" s="76" t="s">
        <v>186</v>
      </c>
      <c r="E13" s="56" t="s">
        <v>187</v>
      </c>
      <c r="F13" s="127">
        <v>0</v>
      </c>
      <c r="G13" s="127">
        <v>1882</v>
      </c>
      <c r="H13" s="127">
        <v>0</v>
      </c>
      <c r="I13" s="127">
        <v>0</v>
      </c>
      <c r="J13" s="34">
        <f t="shared" si="1"/>
        <v>1882</v>
      </c>
      <c r="K13" s="33" t="s">
        <v>251</v>
      </c>
    </row>
    <row r="14" spans="1:11" s="59" customFormat="1" ht="15" x14ac:dyDescent="0.4">
      <c r="A14" s="57"/>
      <c r="B14" s="55" t="s">
        <v>190</v>
      </c>
      <c r="C14" s="58"/>
      <c r="D14" s="76" t="s">
        <v>186</v>
      </c>
      <c r="E14" s="56" t="s">
        <v>187</v>
      </c>
      <c r="F14" s="83">
        <v>0</v>
      </c>
      <c r="G14" s="83">
        <v>26646</v>
      </c>
      <c r="H14" s="83">
        <v>0</v>
      </c>
      <c r="I14" s="83">
        <v>0</v>
      </c>
      <c r="J14" s="46">
        <f t="shared" si="1"/>
        <v>26646</v>
      </c>
      <c r="K14" s="45"/>
    </row>
    <row r="15" spans="1:11" s="59" customFormat="1" ht="15" x14ac:dyDescent="0.4">
      <c r="A15" s="57"/>
      <c r="B15" s="55" t="s">
        <v>191</v>
      </c>
      <c r="C15" s="58"/>
      <c r="D15" s="76" t="s">
        <v>186</v>
      </c>
      <c r="E15" s="56" t="s">
        <v>187</v>
      </c>
      <c r="F15" s="83">
        <v>0</v>
      </c>
      <c r="G15" s="83">
        <v>332</v>
      </c>
      <c r="H15" s="83">
        <v>0</v>
      </c>
      <c r="I15" s="83">
        <v>0</v>
      </c>
      <c r="J15" s="46">
        <f t="shared" si="1"/>
        <v>332</v>
      </c>
      <c r="K15" s="45"/>
    </row>
    <row r="16" spans="1:11" ht="13.9" x14ac:dyDescent="0.4">
      <c r="A16" s="41"/>
      <c r="B16" s="56" t="s">
        <v>103</v>
      </c>
      <c r="C16" s="20"/>
      <c r="D16" s="76" t="s">
        <v>186</v>
      </c>
      <c r="E16" s="56" t="s">
        <v>187</v>
      </c>
      <c r="F16" s="56">
        <v>0</v>
      </c>
      <c r="G16" s="83">
        <v>1748</v>
      </c>
      <c r="H16" s="56">
        <v>0</v>
      </c>
      <c r="I16" s="56">
        <v>0</v>
      </c>
      <c r="J16" s="46">
        <f t="shared" si="1"/>
        <v>1748</v>
      </c>
      <c r="K16" s="45"/>
    </row>
    <row r="17" spans="1:11" ht="13.9" x14ac:dyDescent="0.4">
      <c r="A17" s="41"/>
      <c r="B17" s="56" t="s">
        <v>192</v>
      </c>
      <c r="C17" s="76"/>
      <c r="D17" s="76" t="s">
        <v>186</v>
      </c>
      <c r="E17" s="56" t="s">
        <v>187</v>
      </c>
      <c r="F17" s="56">
        <v>0</v>
      </c>
      <c r="G17" s="83">
        <v>23788</v>
      </c>
      <c r="H17" s="56">
        <v>0</v>
      </c>
      <c r="I17" s="56">
        <v>0</v>
      </c>
      <c r="J17" s="46">
        <f t="shared" si="1"/>
        <v>23788</v>
      </c>
      <c r="K17" s="45"/>
    </row>
    <row r="18" spans="1:11" ht="13.9" x14ac:dyDescent="0.4">
      <c r="A18" s="41"/>
      <c r="B18" s="23" t="s">
        <v>104</v>
      </c>
      <c r="C18" s="69" t="s">
        <v>184</v>
      </c>
      <c r="D18" s="69"/>
      <c r="E18" s="23" t="s">
        <v>52</v>
      </c>
      <c r="F18" s="19">
        <v>17469</v>
      </c>
      <c r="G18" s="19">
        <v>32877</v>
      </c>
      <c r="H18" s="19">
        <v>0</v>
      </c>
      <c r="I18" s="19">
        <v>64067</v>
      </c>
      <c r="J18" s="24">
        <f t="shared" si="1"/>
        <v>114413</v>
      </c>
      <c r="K18" s="24"/>
    </row>
    <row r="19" spans="1:11" ht="13.9" x14ac:dyDescent="0.4">
      <c r="A19" s="41"/>
      <c r="B19" s="72" t="s">
        <v>193</v>
      </c>
      <c r="C19" s="71"/>
      <c r="D19" s="71" t="s">
        <v>186</v>
      </c>
      <c r="E19" s="72" t="s">
        <v>187</v>
      </c>
      <c r="F19" s="83">
        <v>0</v>
      </c>
      <c r="G19" s="83">
        <v>23373</v>
      </c>
      <c r="H19" s="83">
        <v>0</v>
      </c>
      <c r="I19" s="83">
        <v>0</v>
      </c>
      <c r="J19" s="46">
        <f t="shared" si="1"/>
        <v>23373</v>
      </c>
      <c r="K19" s="45"/>
    </row>
    <row r="20" spans="1:11" ht="13.9" x14ac:dyDescent="0.4">
      <c r="A20" s="41"/>
      <c r="B20" s="72" t="s">
        <v>210</v>
      </c>
      <c r="C20" s="71"/>
      <c r="D20" s="71" t="s">
        <v>186</v>
      </c>
      <c r="E20" s="72" t="s">
        <v>187</v>
      </c>
      <c r="F20" s="127">
        <v>0</v>
      </c>
      <c r="G20" s="127">
        <v>1636</v>
      </c>
      <c r="H20" s="127">
        <v>0</v>
      </c>
      <c r="I20" s="127">
        <v>0</v>
      </c>
      <c r="J20" s="34">
        <f t="shared" si="1"/>
        <v>1636</v>
      </c>
      <c r="K20" s="120" t="s">
        <v>251</v>
      </c>
    </row>
    <row r="21" spans="1:11" ht="13.9" x14ac:dyDescent="0.4">
      <c r="A21" s="41"/>
      <c r="B21" s="72" t="s">
        <v>158</v>
      </c>
      <c r="C21" s="71"/>
      <c r="D21" s="71"/>
      <c r="E21" s="72" t="s">
        <v>159</v>
      </c>
      <c r="F21" s="33">
        <v>0</v>
      </c>
      <c r="G21" s="33">
        <v>90000</v>
      </c>
      <c r="H21" s="33">
        <v>0</v>
      </c>
      <c r="I21" s="33">
        <v>0</v>
      </c>
      <c r="J21" s="34">
        <f>'17'!J21</f>
        <v>85000</v>
      </c>
      <c r="K21" s="120" t="s">
        <v>251</v>
      </c>
    </row>
    <row r="22" spans="1:11" ht="13.9" x14ac:dyDescent="0.4">
      <c r="A22" s="41"/>
      <c r="B22" s="72" t="s">
        <v>194</v>
      </c>
      <c r="C22" s="71"/>
      <c r="D22" s="71" t="s">
        <v>186</v>
      </c>
      <c r="E22" s="72" t="s">
        <v>187</v>
      </c>
      <c r="F22" s="45">
        <v>0</v>
      </c>
      <c r="G22" s="83">
        <v>3850</v>
      </c>
      <c r="H22" s="45">
        <v>0</v>
      </c>
      <c r="I22" s="45">
        <v>0</v>
      </c>
      <c r="J22" s="46">
        <f t="shared" si="1"/>
        <v>3850</v>
      </c>
      <c r="K22" s="45"/>
    </row>
    <row r="23" spans="1:11" ht="13.9" x14ac:dyDescent="0.4">
      <c r="A23" s="41"/>
      <c r="B23" s="23" t="s">
        <v>105</v>
      </c>
      <c r="C23" s="69" t="s">
        <v>184</v>
      </c>
      <c r="D23" s="69" t="s">
        <v>165</v>
      </c>
      <c r="E23" s="23" t="s">
        <v>53</v>
      </c>
      <c r="F23" s="22">
        <v>15315.04542</v>
      </c>
      <c r="G23" s="22">
        <f>49156.7522+10264.17298</f>
        <v>59420.925180000006</v>
      </c>
      <c r="H23" s="22">
        <v>0</v>
      </c>
      <c r="I23" s="22">
        <v>0</v>
      </c>
      <c r="J23" s="24">
        <f t="shared" si="1"/>
        <v>74735.970600000001</v>
      </c>
      <c r="K23" s="24"/>
    </row>
    <row r="24" spans="1:11" ht="13.9" x14ac:dyDescent="0.4">
      <c r="A24" s="41"/>
      <c r="B24" s="72" t="s">
        <v>195</v>
      </c>
      <c r="C24" s="71"/>
      <c r="D24" s="71" t="s">
        <v>186</v>
      </c>
      <c r="E24" s="72" t="s">
        <v>187</v>
      </c>
      <c r="F24" s="45">
        <v>0</v>
      </c>
      <c r="G24" s="83">
        <v>1028</v>
      </c>
      <c r="H24" s="45">
        <v>0</v>
      </c>
      <c r="I24" s="45">
        <v>0</v>
      </c>
      <c r="J24" s="46">
        <f t="shared" si="1"/>
        <v>1028</v>
      </c>
      <c r="K24" s="45"/>
    </row>
    <row r="25" spans="1:11" ht="13.9" x14ac:dyDescent="0.4">
      <c r="A25" s="41"/>
      <c r="B25" s="8" t="s">
        <v>6</v>
      </c>
      <c r="C25" s="20" t="s">
        <v>184</v>
      </c>
      <c r="D25" s="20"/>
      <c r="E25" s="8" t="s">
        <v>54</v>
      </c>
      <c r="F25" s="22">
        <v>11294.643</v>
      </c>
      <c r="G25" s="22">
        <v>42354.911</v>
      </c>
      <c r="H25" s="19">
        <v>2823.6610000000001</v>
      </c>
      <c r="I25" s="19">
        <v>133928.57199999999</v>
      </c>
      <c r="J25" s="24">
        <f t="shared" si="1"/>
        <v>190401.78699999998</v>
      </c>
      <c r="K25" s="34"/>
    </row>
    <row r="26" spans="1:11" ht="13.9" x14ac:dyDescent="0.4">
      <c r="A26" s="41"/>
      <c r="B26" s="56" t="s">
        <v>196</v>
      </c>
      <c r="C26" s="76"/>
      <c r="D26" s="76" t="s">
        <v>186</v>
      </c>
      <c r="E26" s="56" t="s">
        <v>187</v>
      </c>
      <c r="F26" s="45">
        <v>0</v>
      </c>
      <c r="G26" s="83">
        <v>23399</v>
      </c>
      <c r="H26" s="83">
        <v>0</v>
      </c>
      <c r="I26" s="83">
        <v>0</v>
      </c>
      <c r="J26" s="46">
        <f t="shared" si="1"/>
        <v>23399</v>
      </c>
      <c r="K26" s="45"/>
    </row>
    <row r="27" spans="1:11" s="66" customFormat="1" ht="13.9" x14ac:dyDescent="0.4">
      <c r="A27" s="64"/>
      <c r="B27" s="23" t="s">
        <v>106</v>
      </c>
      <c r="C27" s="69" t="s">
        <v>184</v>
      </c>
      <c r="D27" s="69"/>
      <c r="E27" s="23" t="s">
        <v>55</v>
      </c>
      <c r="F27" s="22">
        <v>13526.642</v>
      </c>
      <c r="G27" s="19">
        <v>133037.97399999999</v>
      </c>
      <c r="H27" s="19">
        <v>2085.7020000000002</v>
      </c>
      <c r="I27" s="19">
        <v>0</v>
      </c>
      <c r="J27" s="24">
        <f t="shared" si="1"/>
        <v>148650.31799999997</v>
      </c>
      <c r="K27" s="80"/>
    </row>
    <row r="28" spans="1:11" s="66" customFormat="1" ht="13.9" x14ac:dyDescent="0.4">
      <c r="A28" s="64"/>
      <c r="B28" s="72" t="s">
        <v>217</v>
      </c>
      <c r="C28" s="76"/>
      <c r="D28" s="71" t="s">
        <v>165</v>
      </c>
      <c r="E28" s="72" t="s">
        <v>169</v>
      </c>
      <c r="F28" s="165" t="s">
        <v>3</v>
      </c>
      <c r="G28" s="165">
        <v>12700</v>
      </c>
      <c r="H28" s="165" t="s">
        <v>3</v>
      </c>
      <c r="I28" s="165" t="s">
        <v>3</v>
      </c>
      <c r="J28" s="34">
        <f>SUM(F28:I28)</f>
        <v>12700</v>
      </c>
      <c r="K28" s="120" t="s">
        <v>251</v>
      </c>
    </row>
    <row r="29" spans="1:11" s="66" customFormat="1" ht="13.9" x14ac:dyDescent="0.4">
      <c r="A29" s="64"/>
      <c r="B29" s="72" t="s">
        <v>197</v>
      </c>
      <c r="C29" s="76"/>
      <c r="D29" s="71" t="s">
        <v>186</v>
      </c>
      <c r="E29" s="72" t="s">
        <v>187</v>
      </c>
      <c r="F29" s="45">
        <v>0</v>
      </c>
      <c r="G29" s="83">
        <v>544</v>
      </c>
      <c r="H29" s="45">
        <v>0</v>
      </c>
      <c r="I29" s="45">
        <v>0</v>
      </c>
      <c r="J29" s="147">
        <f t="shared" si="1"/>
        <v>544</v>
      </c>
      <c r="K29" s="45"/>
    </row>
    <row r="30" spans="1:11" s="66" customFormat="1" ht="13.9" x14ac:dyDescent="0.4">
      <c r="A30" s="64"/>
      <c r="B30" s="72" t="s">
        <v>198</v>
      </c>
      <c r="C30" s="76"/>
      <c r="D30" s="71" t="s">
        <v>186</v>
      </c>
      <c r="E30" s="72" t="s">
        <v>187</v>
      </c>
      <c r="F30" s="45">
        <v>0</v>
      </c>
      <c r="G30" s="83">
        <v>625</v>
      </c>
      <c r="H30" s="45">
        <v>0</v>
      </c>
      <c r="I30" s="45">
        <v>0</v>
      </c>
      <c r="J30" s="147">
        <f t="shared" si="1"/>
        <v>625</v>
      </c>
      <c r="K30" s="45"/>
    </row>
    <row r="31" spans="1:11" ht="13.9" x14ac:dyDescent="0.4">
      <c r="A31" s="41"/>
      <c r="B31" s="56" t="s">
        <v>107</v>
      </c>
      <c r="C31" s="76"/>
      <c r="D31" s="76" t="s">
        <v>165</v>
      </c>
      <c r="E31" s="56" t="s">
        <v>56</v>
      </c>
      <c r="F31" s="126" t="s">
        <v>3</v>
      </c>
      <c r="G31" s="127">
        <v>28200</v>
      </c>
      <c r="H31" s="126" t="s">
        <v>3</v>
      </c>
      <c r="I31" s="126" t="s">
        <v>3</v>
      </c>
      <c r="J31" s="34">
        <f>SUM(F31:I31)</f>
        <v>28200</v>
      </c>
      <c r="K31" s="120" t="s">
        <v>273</v>
      </c>
    </row>
    <row r="32" spans="1:11" s="63" customFormat="1" ht="17.649999999999999" x14ac:dyDescent="0.5">
      <c r="A32" s="62"/>
      <c r="B32" s="61" t="s">
        <v>47</v>
      </c>
      <c r="C32" s="12"/>
      <c r="D32" s="12"/>
      <c r="E32" s="30"/>
      <c r="F32" s="166"/>
      <c r="G32" s="166"/>
      <c r="H32" s="166"/>
      <c r="I32" s="166"/>
      <c r="J32" s="166"/>
      <c r="K32" s="104"/>
    </row>
    <row r="33" spans="1:11" ht="13.9" x14ac:dyDescent="0.4">
      <c r="A33" s="42"/>
      <c r="B33" s="8" t="s">
        <v>108</v>
      </c>
      <c r="C33" s="20" t="s">
        <v>184</v>
      </c>
      <c r="D33" s="20"/>
      <c r="E33" s="8" t="s">
        <v>57</v>
      </c>
      <c r="F33" s="102">
        <v>0</v>
      </c>
      <c r="G33" s="102">
        <v>0</v>
      </c>
      <c r="H33" s="102">
        <v>0</v>
      </c>
      <c r="I33" s="102">
        <v>0</v>
      </c>
      <c r="J33" s="34">
        <f>SUM(F33:I33)</f>
        <v>0</v>
      </c>
      <c r="K33" s="22" t="s">
        <v>282</v>
      </c>
    </row>
    <row r="34" spans="1:11" ht="13.9" x14ac:dyDescent="0.4">
      <c r="A34" s="42"/>
      <c r="B34" s="2" t="s">
        <v>109</v>
      </c>
      <c r="C34" s="13" t="s">
        <v>184</v>
      </c>
      <c r="D34" s="13"/>
      <c r="E34" s="2" t="s">
        <v>58</v>
      </c>
      <c r="F34" s="22">
        <v>83307.588000000003</v>
      </c>
      <c r="G34" s="22">
        <v>166615.17600000001</v>
      </c>
      <c r="H34" s="22">
        <v>78407.142000000007</v>
      </c>
      <c r="I34" s="22">
        <v>0</v>
      </c>
      <c r="J34" s="24">
        <f>SUM(F34:I34)</f>
        <v>328329.90600000002</v>
      </c>
      <c r="K34" s="32"/>
    </row>
    <row r="35" spans="1:11" ht="13.9" x14ac:dyDescent="0.4">
      <c r="A35" s="42"/>
      <c r="B35" s="23" t="s">
        <v>110</v>
      </c>
      <c r="C35" s="69" t="s">
        <v>184</v>
      </c>
      <c r="D35" s="69"/>
      <c r="E35" s="23" t="s">
        <v>111</v>
      </c>
      <c r="F35" s="22">
        <v>309494.86900000001</v>
      </c>
      <c r="G35" s="22">
        <v>1384752.3670000001</v>
      </c>
      <c r="H35" s="22">
        <v>565068.95299999998</v>
      </c>
      <c r="I35" s="22">
        <v>24998.993999999999</v>
      </c>
      <c r="J35" s="24">
        <f>SUM(F35:I35)</f>
        <v>2284315.1830000002</v>
      </c>
      <c r="K35" s="8" t="s">
        <v>241</v>
      </c>
    </row>
    <row r="36" spans="1:11" s="63" customFormat="1" ht="17.649999999999999" x14ac:dyDescent="0.5">
      <c r="A36" s="92"/>
      <c r="B36" s="61" t="s">
        <v>48</v>
      </c>
      <c r="C36" s="54"/>
      <c r="D36" s="54"/>
      <c r="E36" s="61"/>
      <c r="F36" s="167"/>
      <c r="G36" s="167"/>
      <c r="H36" s="167"/>
      <c r="I36" s="167"/>
      <c r="J36" s="167"/>
      <c r="K36" s="61"/>
    </row>
    <row r="37" spans="1:11" s="3" customFormat="1" ht="13.9" x14ac:dyDescent="0.4">
      <c r="A37" s="75"/>
      <c r="B37" s="72" t="s">
        <v>141</v>
      </c>
      <c r="C37" s="71"/>
      <c r="D37" s="71" t="s">
        <v>164</v>
      </c>
      <c r="E37" s="72" t="s">
        <v>152</v>
      </c>
      <c r="F37" s="45">
        <v>40563.171000000002</v>
      </c>
      <c r="G37" s="45">
        <v>182481.52600000001</v>
      </c>
      <c r="H37" s="45">
        <v>0</v>
      </c>
      <c r="I37" s="45">
        <v>0</v>
      </c>
      <c r="J37" s="46">
        <f t="shared" ref="J37:J54" si="2">SUM(F37:I37)</f>
        <v>223044.69700000001</v>
      </c>
      <c r="K37" s="56" t="s">
        <v>167</v>
      </c>
    </row>
    <row r="38" spans="1:11" s="3" customFormat="1" ht="13.9" x14ac:dyDescent="0.4">
      <c r="A38" s="75"/>
      <c r="B38" s="72" t="s">
        <v>142</v>
      </c>
      <c r="C38" s="71"/>
      <c r="D38" s="71" t="s">
        <v>164</v>
      </c>
      <c r="E38" s="72" t="s">
        <v>152</v>
      </c>
      <c r="F38" s="45">
        <v>140</v>
      </c>
      <c r="G38" s="45">
        <v>16323</v>
      </c>
      <c r="H38" s="45">
        <v>0</v>
      </c>
      <c r="I38" s="45">
        <v>0</v>
      </c>
      <c r="J38" s="46">
        <f t="shared" si="2"/>
        <v>16463</v>
      </c>
      <c r="K38" s="56" t="s">
        <v>167</v>
      </c>
    </row>
    <row r="39" spans="1:11" ht="13.9" x14ac:dyDescent="0.4">
      <c r="A39" s="75"/>
      <c r="B39" s="56" t="s">
        <v>139</v>
      </c>
      <c r="C39" s="76"/>
      <c r="D39" s="71" t="s">
        <v>164</v>
      </c>
      <c r="E39" s="72" t="s">
        <v>152</v>
      </c>
      <c r="F39" s="45">
        <v>75210.043999999994</v>
      </c>
      <c r="G39" s="45">
        <v>1050890.6939999999</v>
      </c>
      <c r="H39" s="45">
        <v>29431.16</v>
      </c>
      <c r="I39" s="45">
        <v>294027.88099999999</v>
      </c>
      <c r="J39" s="46">
        <f t="shared" si="2"/>
        <v>1449559.7789999999</v>
      </c>
      <c r="K39" s="56" t="s">
        <v>167</v>
      </c>
    </row>
    <row r="40" spans="1:11" ht="13.9" x14ac:dyDescent="0.4">
      <c r="A40" s="75"/>
      <c r="B40" s="56" t="s">
        <v>143</v>
      </c>
      <c r="C40" s="76"/>
      <c r="D40" s="71" t="s">
        <v>164</v>
      </c>
      <c r="E40" s="72" t="s">
        <v>152</v>
      </c>
      <c r="F40" s="45">
        <v>43522.957000000002</v>
      </c>
      <c r="G40" s="45">
        <v>215331.31899999999</v>
      </c>
      <c r="H40" s="45">
        <v>0</v>
      </c>
      <c r="I40" s="45">
        <v>0</v>
      </c>
      <c r="J40" s="46">
        <f t="shared" si="2"/>
        <v>258854.27599999998</v>
      </c>
      <c r="K40" s="56" t="s">
        <v>167</v>
      </c>
    </row>
    <row r="41" spans="1:11" ht="13.9" x14ac:dyDescent="0.4">
      <c r="A41" s="75"/>
      <c r="B41" s="56" t="s">
        <v>144</v>
      </c>
      <c r="C41" s="76"/>
      <c r="D41" s="71" t="s">
        <v>164</v>
      </c>
      <c r="E41" s="72" t="s">
        <v>152</v>
      </c>
      <c r="F41" s="45">
        <v>8773.7060000000001</v>
      </c>
      <c r="G41" s="45">
        <v>107320.81600000001</v>
      </c>
      <c r="H41" s="45">
        <v>0</v>
      </c>
      <c r="I41" s="45">
        <v>10500</v>
      </c>
      <c r="J41" s="46">
        <f t="shared" si="2"/>
        <v>126594.52200000001</v>
      </c>
      <c r="K41" s="56" t="s">
        <v>209</v>
      </c>
    </row>
    <row r="42" spans="1:11" ht="13.9" x14ac:dyDescent="0.4">
      <c r="A42" s="75"/>
      <c r="B42" s="56" t="s">
        <v>145</v>
      </c>
      <c r="C42" s="76"/>
      <c r="D42" s="71" t="s">
        <v>164</v>
      </c>
      <c r="E42" s="72" t="s">
        <v>152</v>
      </c>
      <c r="F42" s="45">
        <v>2098.9059999999999</v>
      </c>
      <c r="G42" s="45">
        <v>17853.165000000001</v>
      </c>
      <c r="H42" s="45">
        <v>0</v>
      </c>
      <c r="I42" s="45">
        <v>0</v>
      </c>
      <c r="J42" s="46">
        <f t="shared" si="2"/>
        <v>19952.071</v>
      </c>
      <c r="K42" s="56" t="s">
        <v>167</v>
      </c>
    </row>
    <row r="43" spans="1:11" ht="13.9" x14ac:dyDescent="0.4">
      <c r="A43" s="75"/>
      <c r="B43" s="56" t="s">
        <v>146</v>
      </c>
      <c r="C43" s="76"/>
      <c r="D43" s="71" t="s">
        <v>164</v>
      </c>
      <c r="E43" s="72" t="s">
        <v>152</v>
      </c>
      <c r="F43" s="45">
        <v>3915.261</v>
      </c>
      <c r="G43" s="45">
        <v>24781.817999999999</v>
      </c>
      <c r="H43" s="45">
        <v>0</v>
      </c>
      <c r="I43" s="45">
        <v>0</v>
      </c>
      <c r="J43" s="46">
        <f t="shared" si="2"/>
        <v>28697.078999999998</v>
      </c>
      <c r="K43" s="56" t="s">
        <v>167</v>
      </c>
    </row>
    <row r="44" spans="1:11" ht="13.9" x14ac:dyDescent="0.4">
      <c r="A44" s="75"/>
      <c r="B44" s="72" t="s">
        <v>112</v>
      </c>
      <c r="C44" s="71"/>
      <c r="D44" s="71" t="s">
        <v>164</v>
      </c>
      <c r="E44" s="72" t="s">
        <v>152</v>
      </c>
      <c r="F44" s="83">
        <v>43288.908000000003</v>
      </c>
      <c r="G44" s="83">
        <v>69321.84</v>
      </c>
      <c r="H44" s="83">
        <v>0</v>
      </c>
      <c r="I44" s="83">
        <v>3500</v>
      </c>
      <c r="J44" s="46">
        <f t="shared" si="2"/>
        <v>116110.74799999999</v>
      </c>
      <c r="K44" s="56" t="s">
        <v>209</v>
      </c>
    </row>
    <row r="45" spans="1:11" ht="13.9" x14ac:dyDescent="0.4">
      <c r="A45" s="75"/>
      <c r="B45" s="72" t="s">
        <v>147</v>
      </c>
      <c r="C45" s="71"/>
      <c r="D45" s="71" t="s">
        <v>164</v>
      </c>
      <c r="E45" s="72" t="s">
        <v>152</v>
      </c>
      <c r="F45" s="83">
        <v>1144.4829999999999</v>
      </c>
      <c r="G45" s="83">
        <v>15583.258</v>
      </c>
      <c r="H45" s="83">
        <v>0</v>
      </c>
      <c r="I45" s="83">
        <v>0</v>
      </c>
      <c r="J45" s="46">
        <f>SUM(F45:I45)</f>
        <v>16727.740999999998</v>
      </c>
      <c r="K45" s="56" t="s">
        <v>167</v>
      </c>
    </row>
    <row r="46" spans="1:11" ht="13.9" x14ac:dyDescent="0.4">
      <c r="A46" s="75"/>
      <c r="B46" s="72" t="s">
        <v>148</v>
      </c>
      <c r="C46" s="71"/>
      <c r="D46" s="71" t="s">
        <v>164</v>
      </c>
      <c r="E46" s="72" t="s">
        <v>152</v>
      </c>
      <c r="F46" s="83">
        <v>920.41499999999996</v>
      </c>
      <c r="G46" s="83">
        <v>33704.79</v>
      </c>
      <c r="H46" s="83">
        <v>0</v>
      </c>
      <c r="I46" s="83">
        <v>0</v>
      </c>
      <c r="J46" s="46">
        <f t="shared" si="2"/>
        <v>34625.205000000002</v>
      </c>
      <c r="K46" s="56" t="s">
        <v>167</v>
      </c>
    </row>
    <row r="47" spans="1:11" ht="13.9" x14ac:dyDescent="0.4">
      <c r="A47" s="75"/>
      <c r="B47" s="72" t="s">
        <v>149</v>
      </c>
      <c r="C47" s="71"/>
      <c r="D47" s="71" t="s">
        <v>164</v>
      </c>
      <c r="E47" s="72" t="s">
        <v>152</v>
      </c>
      <c r="F47" s="83">
        <v>1261.665</v>
      </c>
      <c r="G47" s="83">
        <v>11692.529</v>
      </c>
      <c r="H47" s="83">
        <v>0</v>
      </c>
      <c r="I47" s="83">
        <v>0</v>
      </c>
      <c r="J47" s="46">
        <f t="shared" si="2"/>
        <v>12954.194</v>
      </c>
      <c r="K47" s="56" t="s">
        <v>167</v>
      </c>
    </row>
    <row r="48" spans="1:11" ht="13.9" x14ac:dyDescent="0.4">
      <c r="A48" s="75"/>
      <c r="B48" s="72" t="s">
        <v>150</v>
      </c>
      <c r="C48" s="71"/>
      <c r="D48" s="71" t="s">
        <v>164</v>
      </c>
      <c r="E48" s="72" t="s">
        <v>152</v>
      </c>
      <c r="F48" s="83">
        <v>222849.42</v>
      </c>
      <c r="G48" s="83">
        <v>562159.02300000004</v>
      </c>
      <c r="H48" s="83">
        <v>0</v>
      </c>
      <c r="I48" s="83">
        <v>287600</v>
      </c>
      <c r="J48" s="46">
        <f t="shared" si="2"/>
        <v>1072608.443</v>
      </c>
      <c r="K48" s="56" t="s">
        <v>167</v>
      </c>
    </row>
    <row r="49" spans="1:11" ht="13.9" x14ac:dyDescent="0.4">
      <c r="A49" s="75"/>
      <c r="B49" s="72" t="s">
        <v>151</v>
      </c>
      <c r="C49" s="71"/>
      <c r="D49" s="71" t="s">
        <v>164</v>
      </c>
      <c r="E49" s="72" t="s">
        <v>152</v>
      </c>
      <c r="F49" s="83">
        <v>0</v>
      </c>
      <c r="G49" s="83">
        <v>4981.3599999999997</v>
      </c>
      <c r="H49" s="83">
        <v>0</v>
      </c>
      <c r="I49" s="83">
        <v>0</v>
      </c>
      <c r="J49" s="46">
        <f t="shared" si="2"/>
        <v>4981.3599999999997</v>
      </c>
      <c r="K49" s="56" t="s">
        <v>167</v>
      </c>
    </row>
    <row r="50" spans="1:11" ht="13.9" x14ac:dyDescent="0.4">
      <c r="A50" s="75"/>
      <c r="B50" s="72" t="s">
        <v>153</v>
      </c>
      <c r="C50" s="71"/>
      <c r="D50" s="71" t="s">
        <v>164</v>
      </c>
      <c r="E50" s="72" t="s">
        <v>152</v>
      </c>
      <c r="F50" s="83">
        <v>18915.232</v>
      </c>
      <c r="G50" s="83">
        <v>30224.422999999999</v>
      </c>
      <c r="H50" s="83">
        <v>0</v>
      </c>
      <c r="I50" s="83">
        <v>0</v>
      </c>
      <c r="J50" s="46">
        <f t="shared" si="2"/>
        <v>49139.654999999999</v>
      </c>
      <c r="K50" s="56" t="s">
        <v>240</v>
      </c>
    </row>
    <row r="51" spans="1:11" ht="13.9" x14ac:dyDescent="0.4">
      <c r="A51" s="75"/>
      <c r="B51" s="72" t="s">
        <v>154</v>
      </c>
      <c r="C51" s="71"/>
      <c r="D51" s="71" t="s">
        <v>164</v>
      </c>
      <c r="E51" s="72" t="s">
        <v>152</v>
      </c>
      <c r="F51" s="83">
        <v>1800</v>
      </c>
      <c r="G51" s="83">
        <v>20275.146000000001</v>
      </c>
      <c r="H51" s="83">
        <v>0</v>
      </c>
      <c r="I51" s="83">
        <v>0</v>
      </c>
      <c r="J51" s="46">
        <f t="shared" si="2"/>
        <v>22075.146000000001</v>
      </c>
      <c r="K51" s="56" t="s">
        <v>208</v>
      </c>
    </row>
    <row r="52" spans="1:11" ht="13.9" x14ac:dyDescent="0.4">
      <c r="A52" s="75"/>
      <c r="B52" s="72" t="s">
        <v>155</v>
      </c>
      <c r="C52" s="71"/>
      <c r="D52" s="71" t="s">
        <v>164</v>
      </c>
      <c r="E52" s="72" t="s">
        <v>152</v>
      </c>
      <c r="F52" s="83">
        <v>27092.649000000001</v>
      </c>
      <c r="G52" s="83">
        <v>74151.981</v>
      </c>
      <c r="H52" s="83">
        <v>0</v>
      </c>
      <c r="I52" s="83">
        <v>4500</v>
      </c>
      <c r="J52" s="46">
        <f t="shared" si="2"/>
        <v>105744.63</v>
      </c>
      <c r="K52" s="56" t="s">
        <v>209</v>
      </c>
    </row>
    <row r="53" spans="1:11" ht="13.9" x14ac:dyDescent="0.4">
      <c r="A53" s="75"/>
      <c r="B53" s="72" t="s">
        <v>156</v>
      </c>
      <c r="C53" s="71"/>
      <c r="D53" s="71" t="s">
        <v>164</v>
      </c>
      <c r="E53" s="72" t="s">
        <v>152</v>
      </c>
      <c r="F53" s="83">
        <v>10500</v>
      </c>
      <c r="G53" s="83">
        <v>30725.976999999999</v>
      </c>
      <c r="H53" s="83">
        <v>0</v>
      </c>
      <c r="I53" s="83">
        <v>0</v>
      </c>
      <c r="J53" s="46">
        <f t="shared" si="2"/>
        <v>41225.976999999999</v>
      </c>
      <c r="K53" s="56" t="s">
        <v>208</v>
      </c>
    </row>
    <row r="54" spans="1:11" ht="13.9" x14ac:dyDescent="0.4">
      <c r="A54" s="75"/>
      <c r="B54" s="72" t="s">
        <v>157</v>
      </c>
      <c r="C54" s="71"/>
      <c r="D54" s="71" t="s">
        <v>164</v>
      </c>
      <c r="E54" s="154" t="s">
        <v>283</v>
      </c>
      <c r="F54" s="133">
        <v>3000</v>
      </c>
      <c r="G54" s="133">
        <v>31400</v>
      </c>
      <c r="H54" s="133">
        <v>0</v>
      </c>
      <c r="I54" s="133">
        <v>80000</v>
      </c>
      <c r="J54" s="134">
        <f t="shared" si="2"/>
        <v>114400</v>
      </c>
      <c r="K54" s="56" t="s">
        <v>233</v>
      </c>
    </row>
    <row r="55" spans="1:11" s="63" customFormat="1" ht="17.649999999999999" x14ac:dyDescent="0.5">
      <c r="A55" s="39"/>
      <c r="B55" s="61" t="s">
        <v>10</v>
      </c>
      <c r="C55" s="54"/>
      <c r="D55" s="54"/>
      <c r="E55" s="61"/>
      <c r="F55" s="167"/>
      <c r="G55" s="167"/>
      <c r="H55" s="167"/>
      <c r="I55" s="167"/>
      <c r="J55" s="167"/>
      <c r="K55" s="61"/>
    </row>
    <row r="56" spans="1:11" ht="13.9" x14ac:dyDescent="0.4">
      <c r="A56" s="39"/>
      <c r="B56" s="23" t="s">
        <v>113</v>
      </c>
      <c r="C56" s="69" t="s">
        <v>184</v>
      </c>
      <c r="D56" s="69"/>
      <c r="E56" s="23" t="s">
        <v>59</v>
      </c>
      <c r="F56" s="22">
        <v>79000</v>
      </c>
      <c r="G56" s="22">
        <v>254000</v>
      </c>
      <c r="H56" s="22">
        <v>49000</v>
      </c>
      <c r="I56" s="22">
        <v>0</v>
      </c>
      <c r="J56" s="24">
        <f t="shared" ref="J56:J65" si="3">SUM(F56:I56)</f>
        <v>382000</v>
      </c>
      <c r="K56" s="33"/>
    </row>
    <row r="57" spans="1:11" ht="13.9" x14ac:dyDescent="0.4">
      <c r="A57" s="39"/>
      <c r="B57" s="2" t="s">
        <v>30</v>
      </c>
      <c r="C57" s="13" t="s">
        <v>184</v>
      </c>
      <c r="D57" s="13" t="s">
        <v>271</v>
      </c>
      <c r="E57" s="2" t="s">
        <v>272</v>
      </c>
      <c r="F57" s="22">
        <v>969896.58900000004</v>
      </c>
      <c r="G57" s="22">
        <v>2573526.5380000002</v>
      </c>
      <c r="H57" s="22">
        <v>0</v>
      </c>
      <c r="I57" s="22">
        <v>0</v>
      </c>
      <c r="J57" s="24">
        <f>SUM(F57:I57)</f>
        <v>3543423.1270000003</v>
      </c>
      <c r="K57" s="22"/>
    </row>
    <row r="58" spans="1:11" ht="13.9" x14ac:dyDescent="0.4">
      <c r="A58" s="39"/>
      <c r="B58" s="2" t="s">
        <v>114</v>
      </c>
      <c r="C58" s="13" t="s">
        <v>184</v>
      </c>
      <c r="D58" s="13"/>
      <c r="E58" s="2" t="s">
        <v>61</v>
      </c>
      <c r="F58" s="22">
        <v>31999.828000000001</v>
      </c>
      <c r="G58" s="22">
        <v>147804.897</v>
      </c>
      <c r="H58" s="22">
        <v>0</v>
      </c>
      <c r="I58" s="22">
        <v>0</v>
      </c>
      <c r="J58" s="24">
        <f t="shared" si="3"/>
        <v>179804.72500000001</v>
      </c>
      <c r="K58" s="34"/>
    </row>
    <row r="59" spans="1:11" ht="13.9" x14ac:dyDescent="0.4">
      <c r="A59" s="39"/>
      <c r="B59" s="2" t="s">
        <v>115</v>
      </c>
      <c r="C59" s="13" t="s">
        <v>184</v>
      </c>
      <c r="D59" s="13"/>
      <c r="E59" s="2" t="s">
        <v>62</v>
      </c>
      <c r="F59" s="22">
        <v>58348.332999999999</v>
      </c>
      <c r="G59" s="22">
        <v>115626.795</v>
      </c>
      <c r="H59" s="22">
        <v>21029.231</v>
      </c>
      <c r="I59" s="22">
        <v>0</v>
      </c>
      <c r="J59" s="24">
        <f t="shared" si="3"/>
        <v>195004.359</v>
      </c>
      <c r="K59" s="105"/>
    </row>
    <row r="60" spans="1:11" ht="13.9" x14ac:dyDescent="0.4">
      <c r="A60" s="39"/>
      <c r="B60" s="2" t="s">
        <v>28</v>
      </c>
      <c r="C60" s="13" t="s">
        <v>184</v>
      </c>
      <c r="D60" s="13"/>
      <c r="E60" s="2" t="s">
        <v>177</v>
      </c>
      <c r="F60" s="22">
        <v>70000</v>
      </c>
      <c r="G60" s="22">
        <v>454000</v>
      </c>
      <c r="H60" s="22">
        <v>2000</v>
      </c>
      <c r="I60" s="22">
        <v>60000</v>
      </c>
      <c r="J60" s="24">
        <f t="shared" si="3"/>
        <v>586000</v>
      </c>
      <c r="K60" s="32"/>
    </row>
    <row r="61" spans="1:11" ht="13.9" x14ac:dyDescent="0.4">
      <c r="A61" s="39"/>
      <c r="B61" s="56" t="s">
        <v>33</v>
      </c>
      <c r="C61" s="53"/>
      <c r="D61" s="53"/>
      <c r="E61" s="56" t="s">
        <v>171</v>
      </c>
      <c r="F61" s="45">
        <v>60565</v>
      </c>
      <c r="G61" s="45">
        <v>145771</v>
      </c>
      <c r="H61" s="45">
        <v>0</v>
      </c>
      <c r="I61" s="45">
        <v>0</v>
      </c>
      <c r="J61" s="46">
        <f>SUM(F61:I61)</f>
        <v>206336</v>
      </c>
      <c r="K61" s="45"/>
    </row>
    <row r="62" spans="1:11" ht="13.9" x14ac:dyDescent="0.4">
      <c r="A62" s="39"/>
      <c r="B62" s="2" t="s">
        <v>116</v>
      </c>
      <c r="C62" s="13" t="s">
        <v>184</v>
      </c>
      <c r="D62" s="13"/>
      <c r="E62" s="23" t="s">
        <v>63</v>
      </c>
      <c r="F62" s="22">
        <v>14686</v>
      </c>
      <c r="G62" s="22">
        <v>60444</v>
      </c>
      <c r="H62" s="22">
        <v>0</v>
      </c>
      <c r="I62" s="22">
        <v>0</v>
      </c>
      <c r="J62" s="24">
        <f t="shared" si="3"/>
        <v>75130</v>
      </c>
      <c r="K62" s="22" t="s">
        <v>309</v>
      </c>
    </row>
    <row r="63" spans="1:11" ht="13.9" x14ac:dyDescent="0.4">
      <c r="A63" s="39"/>
      <c r="B63" s="2" t="s">
        <v>20</v>
      </c>
      <c r="C63" s="13" t="s">
        <v>184</v>
      </c>
      <c r="D63" s="13"/>
      <c r="E63" s="2" t="s">
        <v>64</v>
      </c>
      <c r="F63" s="19">
        <v>529635</v>
      </c>
      <c r="G63" s="19">
        <v>1534192</v>
      </c>
      <c r="H63" s="19">
        <v>58222</v>
      </c>
      <c r="I63" s="19">
        <v>126458</v>
      </c>
      <c r="J63" s="24">
        <f t="shared" si="3"/>
        <v>2248507</v>
      </c>
      <c r="K63" s="102"/>
    </row>
    <row r="64" spans="1:11" ht="14.25" x14ac:dyDescent="0.45">
      <c r="A64" s="39"/>
      <c r="B64" s="2" t="s">
        <v>117</v>
      </c>
      <c r="C64" s="13" t="s">
        <v>184</v>
      </c>
      <c r="D64" s="13"/>
      <c r="E64" s="2" t="s">
        <v>181</v>
      </c>
      <c r="F64" s="19">
        <v>5884.768</v>
      </c>
      <c r="G64" s="19">
        <v>36161.296999999999</v>
      </c>
      <c r="H64" s="19">
        <v>1654.9880000000001</v>
      </c>
      <c r="I64" s="9" t="s">
        <v>3</v>
      </c>
      <c r="J64" s="24">
        <f t="shared" si="3"/>
        <v>43701.053</v>
      </c>
      <c r="K64" s="102"/>
    </row>
    <row r="65" spans="1:11" ht="13.9" x14ac:dyDescent="0.4">
      <c r="A65" s="39"/>
      <c r="B65" s="72" t="s">
        <v>118</v>
      </c>
      <c r="C65" s="71" t="s">
        <v>184</v>
      </c>
      <c r="D65" s="71"/>
      <c r="E65" s="72" t="s">
        <v>205</v>
      </c>
      <c r="F65" s="33">
        <f>'16'!F65</f>
        <v>700</v>
      </c>
      <c r="G65" s="33">
        <f>'16'!G65</f>
        <v>19095</v>
      </c>
      <c r="H65" s="33">
        <f>'16'!H65</f>
        <v>400</v>
      </c>
      <c r="I65" s="33">
        <f>'16'!I65</f>
        <v>0</v>
      </c>
      <c r="J65" s="34">
        <f t="shared" si="3"/>
        <v>20195</v>
      </c>
      <c r="K65" s="33" t="s">
        <v>251</v>
      </c>
    </row>
    <row r="66" spans="1:11" ht="13.9" x14ac:dyDescent="0.4">
      <c r="A66" s="39"/>
      <c r="B66" s="23" t="s">
        <v>119</v>
      </c>
      <c r="C66" s="69" t="s">
        <v>184</v>
      </c>
      <c r="D66" s="69"/>
      <c r="E66" s="23" t="s">
        <v>206</v>
      </c>
      <c r="F66" s="22">
        <v>249061.693</v>
      </c>
      <c r="G66" s="22">
        <v>299918.49800000002</v>
      </c>
      <c r="H66" s="22">
        <v>11479.6</v>
      </c>
      <c r="I66" s="19">
        <v>42070.184999999998</v>
      </c>
      <c r="J66" s="24">
        <f>SUM(F66:I66)</f>
        <v>602529.97600000002</v>
      </c>
      <c r="K66" s="106"/>
    </row>
    <row r="67" spans="1:11" ht="13.9" x14ac:dyDescent="0.4">
      <c r="A67" s="39"/>
      <c r="B67" s="2" t="s">
        <v>25</v>
      </c>
      <c r="C67" s="13" t="s">
        <v>184</v>
      </c>
      <c r="D67" s="13"/>
      <c r="E67" s="2" t="s">
        <v>65</v>
      </c>
      <c r="F67" s="22">
        <v>59783.599000000002</v>
      </c>
      <c r="G67" s="22">
        <v>141451.63200000001</v>
      </c>
      <c r="H67" s="22">
        <v>0</v>
      </c>
      <c r="I67" s="22">
        <v>109010.018</v>
      </c>
      <c r="J67" s="24">
        <f t="shared" ref="J67:J68" si="4">SUM(F67:I67)</f>
        <v>310245.24900000001</v>
      </c>
      <c r="K67" s="24"/>
    </row>
    <row r="68" spans="1:11" ht="13.9" x14ac:dyDescent="0.4">
      <c r="A68" s="39"/>
      <c r="B68" s="2" t="s">
        <v>291</v>
      </c>
      <c r="C68" s="13" t="s">
        <v>184</v>
      </c>
      <c r="D68" s="13"/>
      <c r="E68" s="2" t="s">
        <v>292</v>
      </c>
      <c r="F68" s="33">
        <v>316.01530000000002</v>
      </c>
      <c r="G68" s="33">
        <v>1804.5646300000001</v>
      </c>
      <c r="H68" s="33">
        <v>0</v>
      </c>
      <c r="I68" s="33">
        <v>0</v>
      </c>
      <c r="J68" s="34">
        <f t="shared" si="4"/>
        <v>2120.5799299999999</v>
      </c>
      <c r="K68" s="24"/>
    </row>
    <row r="69" spans="1:11" ht="13.9" x14ac:dyDescent="0.4">
      <c r="A69" s="39"/>
      <c r="B69" s="23" t="s">
        <v>120</v>
      </c>
      <c r="C69" s="69" t="s">
        <v>184</v>
      </c>
      <c r="D69" s="69"/>
      <c r="E69" s="23" t="s">
        <v>66</v>
      </c>
      <c r="F69" s="22">
        <v>22799.993999999999</v>
      </c>
      <c r="G69" s="22">
        <v>62554.432000000001</v>
      </c>
      <c r="H69" s="22">
        <v>4986.0749999999998</v>
      </c>
      <c r="I69" s="22">
        <v>0</v>
      </c>
      <c r="J69" s="24">
        <f>SUM(F69:I69)</f>
        <v>90340.501000000004</v>
      </c>
      <c r="K69" s="33"/>
    </row>
    <row r="70" spans="1:11" ht="13.9" x14ac:dyDescent="0.4">
      <c r="A70" s="39"/>
      <c r="B70" s="8" t="s">
        <v>161</v>
      </c>
      <c r="C70" s="38"/>
      <c r="D70" s="38"/>
      <c r="E70" s="8" t="s">
        <v>160</v>
      </c>
      <c r="F70" s="113">
        <v>14599.47659</v>
      </c>
      <c r="G70" s="113">
        <v>39001.395620000003</v>
      </c>
      <c r="H70" s="113">
        <v>653.30028000000004</v>
      </c>
      <c r="I70" s="113">
        <f>'16'!I70</f>
        <v>0</v>
      </c>
      <c r="J70" s="114">
        <f>SUM(F70:I70)</f>
        <v>54254.172490000004</v>
      </c>
      <c r="K70" s="120"/>
    </row>
    <row r="71" spans="1:11" ht="13.9" x14ac:dyDescent="0.4">
      <c r="A71" s="39"/>
      <c r="B71" s="23" t="s">
        <v>121</v>
      </c>
      <c r="C71" s="69" t="s">
        <v>184</v>
      </c>
      <c r="D71" s="69"/>
      <c r="E71" s="23" t="s">
        <v>67</v>
      </c>
      <c r="F71" s="22">
        <v>784690</v>
      </c>
      <c r="G71" s="22">
        <v>348730</v>
      </c>
      <c r="H71" s="22" t="s">
        <v>16</v>
      </c>
      <c r="I71" s="9" t="s">
        <v>3</v>
      </c>
      <c r="J71" s="24">
        <f>SUM(F71:I71)</f>
        <v>1133420</v>
      </c>
      <c r="K71" s="22" t="s">
        <v>315</v>
      </c>
    </row>
    <row r="72" spans="1:11" ht="13.9" x14ac:dyDescent="0.4">
      <c r="A72" s="39"/>
      <c r="B72" s="23" t="s">
        <v>162</v>
      </c>
      <c r="C72" s="69" t="s">
        <v>184</v>
      </c>
      <c r="D72" s="69"/>
      <c r="E72" s="23" t="s">
        <v>182</v>
      </c>
      <c r="F72" s="22">
        <v>14935.614</v>
      </c>
      <c r="G72" s="22">
        <v>187768.77100000001</v>
      </c>
      <c r="H72" s="22">
        <v>0</v>
      </c>
      <c r="I72" s="22">
        <v>0</v>
      </c>
      <c r="J72" s="24">
        <f>SUM(F72:I72)</f>
        <v>202704.38500000001</v>
      </c>
      <c r="K72" s="45"/>
    </row>
    <row r="73" spans="1:11" ht="13.9" x14ac:dyDescent="0.4">
      <c r="A73" s="39"/>
      <c r="B73" s="72" t="s">
        <v>34</v>
      </c>
      <c r="C73" s="53"/>
      <c r="D73" s="53"/>
      <c r="E73" s="72" t="s">
        <v>179</v>
      </c>
      <c r="F73" s="127">
        <v>99000</v>
      </c>
      <c r="G73" s="127">
        <v>116000</v>
      </c>
      <c r="H73" s="127">
        <f>'16'!H73</f>
        <v>0</v>
      </c>
      <c r="I73" s="127">
        <f>'16'!I73</f>
        <v>0</v>
      </c>
      <c r="J73" s="34">
        <f>SUM(F73:I73)</f>
        <v>215000</v>
      </c>
      <c r="K73" s="45" t="s">
        <v>304</v>
      </c>
    </row>
    <row r="74" spans="1:11" s="63" customFormat="1" ht="17.649999999999999" x14ac:dyDescent="0.5">
      <c r="A74" s="40"/>
      <c r="B74" s="60" t="s">
        <v>9</v>
      </c>
      <c r="C74" s="54"/>
      <c r="D74" s="54"/>
      <c r="E74" s="60"/>
      <c r="F74" s="168"/>
      <c r="G74" s="168"/>
      <c r="H74" s="168"/>
      <c r="I74" s="168"/>
      <c r="J74" s="168"/>
      <c r="K74" s="60"/>
    </row>
    <row r="75" spans="1:11" ht="13.9" x14ac:dyDescent="0.4">
      <c r="A75" s="40"/>
      <c r="B75" s="2" t="s">
        <v>13</v>
      </c>
      <c r="C75" s="13" t="s">
        <v>184</v>
      </c>
      <c r="D75" s="13"/>
      <c r="E75" s="2" t="s">
        <v>68</v>
      </c>
      <c r="F75" s="19">
        <v>300.322</v>
      </c>
      <c r="G75" s="19">
        <v>662.072</v>
      </c>
      <c r="H75" s="19">
        <v>131.02699999999999</v>
      </c>
      <c r="I75" s="19">
        <v>0</v>
      </c>
      <c r="J75" s="24">
        <f>SUM(F75:I75)</f>
        <v>1093.421</v>
      </c>
      <c r="K75" s="22"/>
    </row>
    <row r="76" spans="1:11" ht="13.9" x14ac:dyDescent="0.4">
      <c r="A76" s="40"/>
      <c r="B76" s="2" t="s">
        <v>122</v>
      </c>
      <c r="C76" s="13" t="s">
        <v>184</v>
      </c>
      <c r="D76" s="13"/>
      <c r="E76" s="2" t="s">
        <v>69</v>
      </c>
      <c r="F76" s="19">
        <v>0</v>
      </c>
      <c r="G76" s="19">
        <v>163032</v>
      </c>
      <c r="H76" s="19">
        <v>0</v>
      </c>
      <c r="I76" s="19">
        <v>0</v>
      </c>
      <c r="J76" s="24">
        <f>SUM(F76:I76)</f>
        <v>163032</v>
      </c>
      <c r="K76" s="108"/>
    </row>
    <row r="77" spans="1:11" ht="13.9" x14ac:dyDescent="0.4">
      <c r="A77" s="40"/>
      <c r="B77" s="56" t="s">
        <v>32</v>
      </c>
      <c r="C77" s="71"/>
      <c r="D77" s="53"/>
      <c r="E77" s="2"/>
      <c r="F77" s="126" t="s">
        <v>3</v>
      </c>
      <c r="G77" s="126" t="s">
        <v>3</v>
      </c>
      <c r="H77" s="126" t="s">
        <v>3</v>
      </c>
      <c r="I77" s="126" t="s">
        <v>3</v>
      </c>
      <c r="J77" s="34">
        <f>'15'!J77*(1-0.05)</f>
        <v>19000</v>
      </c>
      <c r="K77" s="120" t="s">
        <v>251</v>
      </c>
    </row>
    <row r="78" spans="1:11" ht="13.9" x14ac:dyDescent="0.4">
      <c r="A78" s="40"/>
      <c r="B78" s="2" t="s">
        <v>22</v>
      </c>
      <c r="C78" s="13" t="s">
        <v>184</v>
      </c>
      <c r="D78" s="13"/>
      <c r="E78" s="2" t="s">
        <v>303</v>
      </c>
      <c r="F78" s="22">
        <v>109862.07399999999</v>
      </c>
      <c r="G78" s="22">
        <v>444364.98</v>
      </c>
      <c r="H78" s="22">
        <v>0</v>
      </c>
      <c r="I78" s="22">
        <v>0</v>
      </c>
      <c r="J78" s="24">
        <f>SUM(F78:I78)</f>
        <v>554227.054</v>
      </c>
      <c r="K78" s="102"/>
    </row>
    <row r="79" spans="1:11" ht="13.9" x14ac:dyDescent="0.4">
      <c r="A79" s="40"/>
      <c r="B79" s="2" t="s">
        <v>123</v>
      </c>
      <c r="C79" s="13" t="s">
        <v>184</v>
      </c>
      <c r="D79" s="13"/>
      <c r="E79" s="2" t="s">
        <v>71</v>
      </c>
      <c r="F79" s="33">
        <v>4404.835</v>
      </c>
      <c r="G79" s="33">
        <v>11177.579</v>
      </c>
      <c r="H79" s="33">
        <v>776.52700000000004</v>
      </c>
      <c r="I79" s="33">
        <v>0</v>
      </c>
      <c r="J79" s="34">
        <f>SUM(F79:I79)</f>
        <v>16358.941000000001</v>
      </c>
      <c r="K79" s="120" t="s">
        <v>251</v>
      </c>
    </row>
    <row r="80" spans="1:11" ht="13.9" x14ac:dyDescent="0.4">
      <c r="A80" s="40"/>
      <c r="B80" s="2" t="s">
        <v>124</v>
      </c>
      <c r="C80" s="13" t="s">
        <v>184</v>
      </c>
      <c r="D80" s="13"/>
      <c r="E80" s="2" t="s">
        <v>72</v>
      </c>
      <c r="F80" s="19">
        <v>33073.012000000002</v>
      </c>
      <c r="G80" s="19">
        <v>6312.2790000000005</v>
      </c>
      <c r="H80" s="19">
        <v>8187.4589999999998</v>
      </c>
      <c r="I80" s="19">
        <v>346.97800000000001</v>
      </c>
      <c r="J80" s="24">
        <f>SUM(F80:I80)</f>
        <v>47919.72800000001</v>
      </c>
      <c r="K80" s="102"/>
    </row>
    <row r="81" spans="1:11" ht="13.9" x14ac:dyDescent="0.4">
      <c r="A81" s="40"/>
      <c r="B81" s="23" t="s">
        <v>125</v>
      </c>
      <c r="C81" s="69" t="s">
        <v>184</v>
      </c>
      <c r="D81" s="69"/>
      <c r="E81" s="23" t="s">
        <v>73</v>
      </c>
      <c r="F81" s="22">
        <v>6795.1319999999996</v>
      </c>
      <c r="G81" s="22">
        <v>4287.8090000000002</v>
      </c>
      <c r="H81" s="22">
        <v>0</v>
      </c>
      <c r="I81" s="22">
        <v>0</v>
      </c>
      <c r="J81" s="24">
        <f>SUM(F81:I81)</f>
        <v>11082.940999999999</v>
      </c>
      <c r="K81" s="31"/>
    </row>
    <row r="82" spans="1:11" ht="13.9" x14ac:dyDescent="0.4">
      <c r="A82" s="40"/>
      <c r="B82" s="72" t="s">
        <v>126</v>
      </c>
      <c r="C82" s="13" t="s">
        <v>184</v>
      </c>
      <c r="D82" s="71"/>
      <c r="E82" s="72" t="s">
        <v>74</v>
      </c>
      <c r="F82" s="33">
        <f>'16'!F82</f>
        <v>500</v>
      </c>
      <c r="G82" s="33">
        <f>'16'!G82</f>
        <v>25650</v>
      </c>
      <c r="H82" s="33">
        <v>800</v>
      </c>
      <c r="I82" s="33">
        <v>0</v>
      </c>
      <c r="J82" s="34">
        <f>SUM(F82:I82)</f>
        <v>26950</v>
      </c>
      <c r="K82" s="120" t="s">
        <v>251</v>
      </c>
    </row>
    <row r="83" spans="1:11" ht="13.9" x14ac:dyDescent="0.4">
      <c r="A83" s="40"/>
      <c r="B83" s="23" t="s">
        <v>127</v>
      </c>
      <c r="C83" s="69" t="s">
        <v>184</v>
      </c>
      <c r="D83" s="69"/>
      <c r="E83" s="23" t="s">
        <v>75</v>
      </c>
      <c r="F83" s="9" t="s">
        <v>26</v>
      </c>
      <c r="G83" s="19" t="s">
        <v>3</v>
      </c>
      <c r="H83" s="19" t="s">
        <v>3</v>
      </c>
      <c r="I83" s="19" t="s">
        <v>3</v>
      </c>
      <c r="J83" s="24">
        <f t="shared" ref="J83:J87" si="5">SUM(F83:I83)</f>
        <v>0</v>
      </c>
      <c r="K83" s="22" t="s">
        <v>214</v>
      </c>
    </row>
    <row r="84" spans="1:11" ht="13.9" x14ac:dyDescent="0.4">
      <c r="A84" s="40"/>
      <c r="B84" s="130" t="s">
        <v>128</v>
      </c>
      <c r="C84" s="131" t="s">
        <v>184</v>
      </c>
      <c r="D84" s="131"/>
      <c r="E84" s="130" t="s">
        <v>76</v>
      </c>
      <c r="F84" s="9" t="s">
        <v>26</v>
      </c>
      <c r="G84" s="19">
        <v>51830.92</v>
      </c>
      <c r="H84" s="19">
        <v>0</v>
      </c>
      <c r="I84" s="19">
        <v>0</v>
      </c>
      <c r="J84" s="24">
        <f t="shared" si="5"/>
        <v>51830.92</v>
      </c>
      <c r="K84" s="8" t="s">
        <v>269</v>
      </c>
    </row>
    <row r="85" spans="1:11" ht="13.9" x14ac:dyDescent="0.4">
      <c r="A85" s="40"/>
      <c r="B85" s="2" t="s">
        <v>17</v>
      </c>
      <c r="C85" s="13" t="s">
        <v>184</v>
      </c>
      <c r="D85" s="13"/>
      <c r="E85" s="2" t="s">
        <v>77</v>
      </c>
      <c r="F85" s="22">
        <v>338956.40299999999</v>
      </c>
      <c r="G85" s="22">
        <v>789109.42</v>
      </c>
      <c r="H85" s="22">
        <v>0</v>
      </c>
      <c r="I85" s="22">
        <v>0</v>
      </c>
      <c r="J85" s="24">
        <f t="shared" si="5"/>
        <v>1128065.8230000001</v>
      </c>
      <c r="K85" s="34"/>
    </row>
    <row r="86" spans="1:11" ht="13.9" x14ac:dyDescent="0.4">
      <c r="A86" s="40"/>
      <c r="B86" s="2" t="s">
        <v>18</v>
      </c>
      <c r="C86" s="13" t="s">
        <v>184</v>
      </c>
      <c r="D86" s="13"/>
      <c r="E86" s="2" t="s">
        <v>78</v>
      </c>
      <c r="F86" s="22">
        <v>156407</v>
      </c>
      <c r="G86" s="22">
        <v>1200475</v>
      </c>
      <c r="H86" s="22">
        <v>0</v>
      </c>
      <c r="I86" s="22">
        <v>0</v>
      </c>
      <c r="J86" s="24">
        <f t="shared" si="5"/>
        <v>1356882</v>
      </c>
      <c r="K86" s="34"/>
    </row>
    <row r="87" spans="1:11" ht="13.9" x14ac:dyDescent="0.4">
      <c r="A87" s="40"/>
      <c r="B87" s="2" t="s">
        <v>129</v>
      </c>
      <c r="C87" s="13" t="s">
        <v>184</v>
      </c>
      <c r="D87" s="13"/>
      <c r="E87" s="2" t="s">
        <v>79</v>
      </c>
      <c r="F87" s="22">
        <v>14672.267599999999</v>
      </c>
      <c r="G87" s="22">
        <v>31340.191770000001</v>
      </c>
      <c r="H87" s="22">
        <v>7996.7881799999996</v>
      </c>
      <c r="I87" s="22">
        <v>0</v>
      </c>
      <c r="J87" s="24">
        <f t="shared" si="5"/>
        <v>54009.24755</v>
      </c>
      <c r="K87" s="8" t="s">
        <v>204</v>
      </c>
    </row>
    <row r="88" spans="1:11" ht="13.9" x14ac:dyDescent="0.4">
      <c r="A88" s="40"/>
      <c r="B88" s="72" t="s">
        <v>130</v>
      </c>
      <c r="C88" s="71"/>
      <c r="D88" s="71"/>
      <c r="E88" s="72" t="s">
        <v>80</v>
      </c>
      <c r="F88" s="126" t="s">
        <v>3</v>
      </c>
      <c r="G88" s="126" t="s">
        <v>3</v>
      </c>
      <c r="H88" s="126" t="s">
        <v>3</v>
      </c>
      <c r="I88" s="126" t="s">
        <v>3</v>
      </c>
      <c r="J88" s="34">
        <f>'16'!J88</f>
        <v>10925</v>
      </c>
      <c r="K88" s="120" t="s">
        <v>251</v>
      </c>
    </row>
    <row r="89" spans="1:11" ht="13.9" x14ac:dyDescent="0.4">
      <c r="A89" s="40"/>
      <c r="B89" s="72" t="s">
        <v>131</v>
      </c>
      <c r="C89" s="71"/>
      <c r="D89" s="71"/>
      <c r="E89" s="72" t="s">
        <v>81</v>
      </c>
      <c r="F89" s="33">
        <f>'16'!F89</f>
        <v>9100</v>
      </c>
      <c r="G89" s="33">
        <f>'16'!G89</f>
        <v>19000</v>
      </c>
      <c r="H89" s="33">
        <v>0</v>
      </c>
      <c r="I89" s="33">
        <v>0</v>
      </c>
      <c r="J89" s="34">
        <f>'16'!J89</f>
        <v>28100</v>
      </c>
      <c r="K89" s="120" t="s">
        <v>251</v>
      </c>
    </row>
    <row r="90" spans="1:11" ht="13.9" x14ac:dyDescent="0.4">
      <c r="A90" s="40"/>
      <c r="B90" s="23" t="s">
        <v>19</v>
      </c>
      <c r="C90" s="69" t="s">
        <v>184</v>
      </c>
      <c r="D90" s="69"/>
      <c r="E90" s="23" t="s">
        <v>82</v>
      </c>
      <c r="F90" s="22">
        <v>417082.79</v>
      </c>
      <c r="G90" s="22">
        <v>484095.41600000003</v>
      </c>
      <c r="H90" s="22">
        <v>25673.294999999998</v>
      </c>
      <c r="I90" s="22">
        <v>80087.251999999993</v>
      </c>
      <c r="J90" s="24">
        <f t="shared" ref="J90:J100" si="6">SUM(F90:I90)</f>
        <v>1006938.753</v>
      </c>
      <c r="K90" s="34"/>
    </row>
    <row r="91" spans="1:11" ht="13.9" x14ac:dyDescent="0.4">
      <c r="A91" s="40"/>
      <c r="B91" s="2" t="s">
        <v>21</v>
      </c>
      <c r="C91" s="13" t="s">
        <v>184</v>
      </c>
      <c r="D91" s="13"/>
      <c r="E91" s="2" t="s">
        <v>83</v>
      </c>
      <c r="F91" s="22">
        <v>226000</v>
      </c>
      <c r="G91" s="22">
        <v>366000</v>
      </c>
      <c r="H91" s="22">
        <v>0</v>
      </c>
      <c r="I91" s="19">
        <v>0</v>
      </c>
      <c r="J91" s="24">
        <f t="shared" si="6"/>
        <v>592000</v>
      </c>
      <c r="K91" s="33"/>
    </row>
    <row r="92" spans="1:11" ht="27.4" x14ac:dyDescent="0.4">
      <c r="A92" s="40"/>
      <c r="B92" s="2" t="s">
        <v>173</v>
      </c>
      <c r="C92" s="13" t="s">
        <v>184</v>
      </c>
      <c r="D92" s="13"/>
      <c r="E92" s="2" t="s">
        <v>84</v>
      </c>
      <c r="F92" s="22">
        <v>1256800</v>
      </c>
      <c r="G92" s="22">
        <v>45280</v>
      </c>
      <c r="H92" s="22">
        <v>0</v>
      </c>
      <c r="I92" s="19">
        <v>113100</v>
      </c>
      <c r="J92" s="24">
        <f t="shared" si="6"/>
        <v>1415180</v>
      </c>
      <c r="K92" s="101" t="s">
        <v>239</v>
      </c>
    </row>
    <row r="93" spans="1:11" ht="13.9" x14ac:dyDescent="0.4">
      <c r="A93" s="132"/>
      <c r="B93" s="2" t="s">
        <v>132</v>
      </c>
      <c r="C93" s="13" t="s">
        <v>184</v>
      </c>
      <c r="D93" s="13"/>
      <c r="E93" s="2" t="s">
        <v>85</v>
      </c>
      <c r="F93" s="22">
        <v>20572</v>
      </c>
      <c r="G93" s="22">
        <v>139370</v>
      </c>
      <c r="H93" s="22">
        <v>7070</v>
      </c>
      <c r="I93" s="22">
        <v>9100</v>
      </c>
      <c r="J93" s="24">
        <f t="shared" si="6"/>
        <v>176112</v>
      </c>
      <c r="K93" s="34"/>
    </row>
    <row r="94" spans="1:11" ht="13.9" x14ac:dyDescent="0.4">
      <c r="A94" s="40"/>
      <c r="B94" s="72" t="s">
        <v>133</v>
      </c>
      <c r="C94" s="71" t="s">
        <v>238</v>
      </c>
      <c r="D94" s="71"/>
      <c r="E94" s="72" t="s">
        <v>86</v>
      </c>
      <c r="F94" s="45">
        <v>17032.59</v>
      </c>
      <c r="G94" s="45">
        <v>32576.99</v>
      </c>
      <c r="H94" s="83">
        <v>1999.01</v>
      </c>
      <c r="I94" s="45">
        <v>0</v>
      </c>
      <c r="J94" s="46">
        <f t="shared" si="6"/>
        <v>51608.590000000004</v>
      </c>
      <c r="K94" s="34"/>
    </row>
    <row r="95" spans="1:11" ht="13.9" x14ac:dyDescent="0.4">
      <c r="A95" s="40"/>
      <c r="B95" s="72" t="s">
        <v>134</v>
      </c>
      <c r="C95" s="71" t="s">
        <v>238</v>
      </c>
      <c r="D95" s="71"/>
      <c r="E95" s="72" t="s">
        <v>87</v>
      </c>
      <c r="F95" s="33">
        <v>116800</v>
      </c>
      <c r="G95" s="33">
        <v>0</v>
      </c>
      <c r="H95" s="33">
        <v>0</v>
      </c>
      <c r="I95" s="33">
        <v>0</v>
      </c>
      <c r="J95" s="34">
        <f t="shared" si="6"/>
        <v>116800</v>
      </c>
      <c r="K95" s="120" t="s">
        <v>251</v>
      </c>
    </row>
    <row r="96" spans="1:11" ht="13.9" x14ac:dyDescent="0.4">
      <c r="A96" s="40"/>
      <c r="B96" s="72" t="s">
        <v>24</v>
      </c>
      <c r="C96" s="71" t="s">
        <v>238</v>
      </c>
      <c r="D96" s="71"/>
      <c r="E96" s="72" t="s">
        <v>178</v>
      </c>
      <c r="F96" s="45">
        <v>116800</v>
      </c>
      <c r="G96" s="45">
        <v>420570</v>
      </c>
      <c r="H96" s="45">
        <v>77610</v>
      </c>
      <c r="I96" s="45" t="str">
        <f>'16'!I96</f>
        <v>not available</v>
      </c>
      <c r="J96" s="46">
        <f t="shared" si="6"/>
        <v>614980</v>
      </c>
      <c r="K96" s="33"/>
    </row>
    <row r="97" spans="1:11" ht="13.9" x14ac:dyDescent="0.4">
      <c r="A97" s="40"/>
      <c r="B97" s="2" t="s">
        <v>135</v>
      </c>
      <c r="C97" s="13" t="s">
        <v>184</v>
      </c>
      <c r="D97" s="13"/>
      <c r="E97" s="2" t="s">
        <v>88</v>
      </c>
      <c r="F97" s="22">
        <v>17927.882610000001</v>
      </c>
      <c r="G97" s="22">
        <v>15981.875910000001</v>
      </c>
      <c r="H97" s="22">
        <v>2136.3640300000002</v>
      </c>
      <c r="I97" s="22">
        <v>0</v>
      </c>
      <c r="J97" s="24">
        <f t="shared" si="6"/>
        <v>36046.12255</v>
      </c>
      <c r="K97" s="24"/>
    </row>
    <row r="98" spans="1:11" ht="13.9" x14ac:dyDescent="0.4">
      <c r="A98" s="40"/>
      <c r="B98" s="2" t="s">
        <v>136</v>
      </c>
      <c r="C98" s="13" t="s">
        <v>184</v>
      </c>
      <c r="D98" s="13"/>
      <c r="E98" s="2" t="s">
        <v>89</v>
      </c>
      <c r="F98" s="22">
        <v>127675.49580999999</v>
      </c>
      <c r="G98" s="22">
        <v>244616.08889000001</v>
      </c>
      <c r="H98" s="22">
        <v>18108.241119999999</v>
      </c>
      <c r="I98" s="22">
        <v>0</v>
      </c>
      <c r="J98" s="24">
        <f t="shared" si="6"/>
        <v>390399.82582000003</v>
      </c>
      <c r="K98" s="102"/>
    </row>
    <row r="99" spans="1:11" ht="13.9" x14ac:dyDescent="0.4">
      <c r="A99" s="40"/>
      <c r="B99" s="23" t="s">
        <v>137</v>
      </c>
      <c r="C99" s="69" t="s">
        <v>184</v>
      </c>
      <c r="D99" s="69"/>
      <c r="E99" s="23" t="s">
        <v>90</v>
      </c>
      <c r="F99" s="22">
        <v>43787.394999999997</v>
      </c>
      <c r="G99" s="22">
        <f>107121.725+34878.987</f>
        <v>142000.712</v>
      </c>
      <c r="H99" s="22">
        <v>0</v>
      </c>
      <c r="I99" s="19">
        <v>0</v>
      </c>
      <c r="J99" s="24">
        <f t="shared" si="6"/>
        <v>185788.10699999999</v>
      </c>
      <c r="K99" s="110"/>
    </row>
    <row r="100" spans="1:11" ht="13.9" x14ac:dyDescent="0.4">
      <c r="A100" s="40"/>
      <c r="B100" s="2" t="s">
        <v>102</v>
      </c>
      <c r="C100" s="13" t="s">
        <v>184</v>
      </c>
      <c r="D100" s="13"/>
      <c r="E100" s="2" t="s">
        <v>91</v>
      </c>
      <c r="F100" s="19">
        <v>1000</v>
      </c>
      <c r="G100" s="19">
        <v>271000</v>
      </c>
      <c r="H100" s="19">
        <v>0</v>
      </c>
      <c r="I100" s="19">
        <v>0</v>
      </c>
      <c r="J100" s="24">
        <f t="shared" si="6"/>
        <v>272000</v>
      </c>
      <c r="K100" s="163"/>
    </row>
    <row r="101" spans="1:11" ht="13.9" x14ac:dyDescent="0.4">
      <c r="A101" s="40"/>
      <c r="B101" s="2" t="s">
        <v>101</v>
      </c>
      <c r="C101" s="13" t="s">
        <v>184</v>
      </c>
      <c r="D101" s="13"/>
      <c r="E101" s="2" t="s">
        <v>92</v>
      </c>
      <c r="F101" s="19">
        <v>116824.988</v>
      </c>
      <c r="G101" s="19">
        <v>204308.277</v>
      </c>
      <c r="H101" s="19">
        <v>12697.412</v>
      </c>
      <c r="I101" s="19">
        <v>0</v>
      </c>
      <c r="J101" s="24">
        <f>SUM(F101:I101)</f>
        <v>333830.67700000003</v>
      </c>
      <c r="K101" s="22" t="s">
        <v>311</v>
      </c>
    </row>
    <row r="102" spans="1:11" ht="13.9" x14ac:dyDescent="0.4">
      <c r="A102" s="40"/>
      <c r="B102" s="72" t="s">
        <v>12</v>
      </c>
      <c r="C102" s="71"/>
      <c r="D102" s="71"/>
      <c r="E102" s="72" t="s">
        <v>93</v>
      </c>
      <c r="F102" s="33">
        <f>'16'!F102</f>
        <v>1500</v>
      </c>
      <c r="G102" s="33">
        <f>'16'!G102</f>
        <v>183350</v>
      </c>
      <c r="H102" s="33">
        <f>'16'!H102</f>
        <v>300</v>
      </c>
      <c r="I102" s="33">
        <f>'16'!I102</f>
        <v>0</v>
      </c>
      <c r="J102" s="34">
        <f>'16'!J102</f>
        <v>185150</v>
      </c>
      <c r="K102" s="120" t="s">
        <v>251</v>
      </c>
    </row>
    <row r="103" spans="1:11" ht="13.9" x14ac:dyDescent="0.4">
      <c r="A103" s="40"/>
      <c r="B103" s="23" t="s">
        <v>100</v>
      </c>
      <c r="C103" s="69" t="s">
        <v>184</v>
      </c>
      <c r="D103" s="69"/>
      <c r="E103" s="23" t="s">
        <v>94</v>
      </c>
      <c r="F103" s="22">
        <v>497474.36800000002</v>
      </c>
      <c r="G103" s="22">
        <v>883149.84900000005</v>
      </c>
      <c r="H103" s="22">
        <v>728147.63800000004</v>
      </c>
      <c r="I103" s="22">
        <v>1498490.608</v>
      </c>
      <c r="J103" s="24">
        <f>SUM(F103:I103)</f>
        <v>3607262.4630000005</v>
      </c>
      <c r="K103" s="103"/>
    </row>
    <row r="104" spans="1:11" ht="13.9" x14ac:dyDescent="0.4">
      <c r="A104" s="40"/>
      <c r="B104" s="2" t="s">
        <v>99</v>
      </c>
      <c r="C104" s="13" t="s">
        <v>184</v>
      </c>
      <c r="D104" s="13"/>
      <c r="E104" s="2" t="s">
        <v>95</v>
      </c>
      <c r="F104" s="22">
        <v>852189.35</v>
      </c>
      <c r="G104" s="22">
        <v>2188336.5630000001</v>
      </c>
      <c r="H104" s="22">
        <v>1242863.3899999999</v>
      </c>
      <c r="I104" s="22">
        <v>1470518.841</v>
      </c>
      <c r="J104" s="24">
        <f>SUM(F104:I104)</f>
        <v>5753908.1440000003</v>
      </c>
      <c r="K104" s="98" t="s">
        <v>202</v>
      </c>
    </row>
    <row r="105" spans="1:11" ht="17.649999999999999" x14ac:dyDescent="0.5">
      <c r="A105" s="41"/>
      <c r="B105" s="60" t="s">
        <v>50</v>
      </c>
      <c r="C105" s="54"/>
      <c r="D105" s="54"/>
      <c r="E105" s="60"/>
      <c r="F105" s="168"/>
      <c r="G105" s="168"/>
      <c r="H105" s="168"/>
      <c r="I105" s="168"/>
      <c r="J105" s="168"/>
      <c r="K105" s="60"/>
    </row>
    <row r="106" spans="1:11" s="63" customFormat="1" ht="17.25" x14ac:dyDescent="0.45">
      <c r="A106" s="41"/>
      <c r="B106" s="72" t="s">
        <v>36</v>
      </c>
      <c r="C106" s="69" t="s">
        <v>184</v>
      </c>
      <c r="D106" s="76" t="s">
        <v>165</v>
      </c>
      <c r="E106" s="56" t="s">
        <v>169</v>
      </c>
      <c r="F106" s="68" t="s">
        <v>3</v>
      </c>
      <c r="G106" s="83">
        <v>23950</v>
      </c>
      <c r="H106" s="68" t="s">
        <v>3</v>
      </c>
      <c r="I106" s="68" t="s">
        <v>3</v>
      </c>
      <c r="J106" s="46">
        <f>SUM(F106:I106)</f>
        <v>23950</v>
      </c>
      <c r="K106" s="45" t="s">
        <v>305</v>
      </c>
    </row>
    <row r="107" spans="1:11" s="47" customFormat="1" ht="13.9" x14ac:dyDescent="0.4">
      <c r="A107" s="41"/>
      <c r="B107" s="56" t="s">
        <v>40</v>
      </c>
      <c r="C107" s="53"/>
      <c r="D107" s="76" t="s">
        <v>165</v>
      </c>
      <c r="E107" s="56" t="s">
        <v>169</v>
      </c>
      <c r="F107" s="127">
        <v>3000</v>
      </c>
      <c r="G107" s="127">
        <v>18000</v>
      </c>
      <c r="H107" s="126" t="s">
        <v>3</v>
      </c>
      <c r="I107" s="126" t="s">
        <v>3</v>
      </c>
      <c r="J107" s="34">
        <f>SUM(F107:I107)</f>
        <v>21000</v>
      </c>
      <c r="K107" s="120" t="s">
        <v>251</v>
      </c>
    </row>
    <row r="108" spans="1:11" ht="13.9" x14ac:dyDescent="0.4">
      <c r="A108" s="41"/>
      <c r="B108" s="72" t="s">
        <v>98</v>
      </c>
      <c r="C108" s="69" t="s">
        <v>184</v>
      </c>
      <c r="D108" s="76" t="s">
        <v>165</v>
      </c>
      <c r="E108" s="56" t="s">
        <v>169</v>
      </c>
      <c r="F108" s="68" t="s">
        <v>3</v>
      </c>
      <c r="G108" s="83">
        <v>29250</v>
      </c>
      <c r="H108" s="68" t="s">
        <v>3</v>
      </c>
      <c r="I108" s="68" t="s">
        <v>3</v>
      </c>
      <c r="J108" s="46">
        <f>SUM(F108:I108)</f>
        <v>29250</v>
      </c>
      <c r="K108" s="45" t="s">
        <v>306</v>
      </c>
    </row>
    <row r="109" spans="1:11" s="47" customFormat="1" ht="13.9" x14ac:dyDescent="0.4">
      <c r="A109" s="41"/>
      <c r="B109" s="56" t="s">
        <v>43</v>
      </c>
      <c r="C109" s="53"/>
      <c r="D109" s="76" t="s">
        <v>165</v>
      </c>
      <c r="E109" s="56" t="s">
        <v>169</v>
      </c>
      <c r="F109" s="68" t="s">
        <v>3</v>
      </c>
      <c r="G109" s="83">
        <v>53520</v>
      </c>
      <c r="H109" s="68" t="s">
        <v>3</v>
      </c>
      <c r="I109" s="68" t="s">
        <v>3</v>
      </c>
      <c r="J109" s="46">
        <f>SUM(F109:I109)</f>
        <v>53520</v>
      </c>
      <c r="K109" s="45" t="s">
        <v>305</v>
      </c>
    </row>
    <row r="110" spans="1:11" s="2" customFormat="1" ht="13.9" x14ac:dyDescent="0.4">
      <c r="A110" s="41"/>
      <c r="B110" s="72" t="s">
        <v>97</v>
      </c>
      <c r="C110" s="71" t="s">
        <v>184</v>
      </c>
      <c r="D110" s="71" t="s">
        <v>165</v>
      </c>
      <c r="E110" s="72" t="s">
        <v>96</v>
      </c>
      <c r="F110" s="83">
        <v>0</v>
      </c>
      <c r="G110" s="83">
        <v>37000</v>
      </c>
      <c r="H110" s="83">
        <v>0</v>
      </c>
      <c r="I110" s="83">
        <v>0</v>
      </c>
      <c r="J110" s="46">
        <f t="shared" ref="J110:J118" si="7">SUM(F110:I110)</f>
        <v>37000</v>
      </c>
      <c r="K110" s="45" t="s">
        <v>251</v>
      </c>
    </row>
    <row r="111" spans="1:11" s="47" customFormat="1" ht="13.9" x14ac:dyDescent="0.4">
      <c r="A111" s="70"/>
      <c r="B111" s="56" t="s">
        <v>44</v>
      </c>
      <c r="C111" s="53"/>
      <c r="D111" s="76" t="s">
        <v>165</v>
      </c>
      <c r="E111" s="56" t="s">
        <v>169</v>
      </c>
      <c r="F111" s="126">
        <v>2900</v>
      </c>
      <c r="G111" s="127">
        <v>13000</v>
      </c>
      <c r="H111" s="126" t="s">
        <v>3</v>
      </c>
      <c r="I111" s="126" t="s">
        <v>3</v>
      </c>
      <c r="J111" s="34">
        <f t="shared" si="7"/>
        <v>15900</v>
      </c>
      <c r="K111" s="120" t="s">
        <v>251</v>
      </c>
    </row>
    <row r="112" spans="1:11" s="47" customFormat="1" ht="13.9" x14ac:dyDescent="0.4">
      <c r="A112" s="70"/>
      <c r="B112" s="56" t="s">
        <v>39</v>
      </c>
      <c r="C112" s="53"/>
      <c r="D112" s="76" t="s">
        <v>165</v>
      </c>
      <c r="E112" s="56" t="s">
        <v>169</v>
      </c>
      <c r="F112" s="68" t="s">
        <v>3</v>
      </c>
      <c r="G112" s="83">
        <v>37030</v>
      </c>
      <c r="H112" s="68" t="s">
        <v>3</v>
      </c>
      <c r="I112" s="68" t="s">
        <v>3</v>
      </c>
      <c r="J112" s="46">
        <f t="shared" si="7"/>
        <v>37030</v>
      </c>
      <c r="K112" s="45" t="s">
        <v>305</v>
      </c>
    </row>
    <row r="113" spans="1:11" s="47" customFormat="1" ht="13.9" x14ac:dyDescent="0.4">
      <c r="A113" s="70"/>
      <c r="B113" s="56" t="s">
        <v>41</v>
      </c>
      <c r="C113" s="53"/>
      <c r="D113" s="76" t="s">
        <v>165</v>
      </c>
      <c r="E113" s="56" t="s">
        <v>169</v>
      </c>
      <c r="F113" s="68" t="s">
        <v>3</v>
      </c>
      <c r="G113" s="83">
        <v>1940</v>
      </c>
      <c r="H113" s="68" t="s">
        <v>3</v>
      </c>
      <c r="I113" s="68" t="s">
        <v>3</v>
      </c>
      <c r="J113" s="46">
        <f t="shared" si="7"/>
        <v>1940</v>
      </c>
      <c r="K113" s="45" t="s">
        <v>305</v>
      </c>
    </row>
    <row r="114" spans="1:11" s="47" customFormat="1" ht="13.9" x14ac:dyDescent="0.4">
      <c r="A114" s="70"/>
      <c r="B114" s="56" t="s">
        <v>42</v>
      </c>
      <c r="C114" s="53"/>
      <c r="D114" s="76" t="s">
        <v>165</v>
      </c>
      <c r="E114" s="56" t="s">
        <v>169</v>
      </c>
      <c r="F114" s="126" t="s">
        <v>3</v>
      </c>
      <c r="G114" s="127">
        <v>300000</v>
      </c>
      <c r="H114" s="126" t="s">
        <v>3</v>
      </c>
      <c r="I114" s="126" t="s">
        <v>3</v>
      </c>
      <c r="J114" s="34">
        <f t="shared" si="7"/>
        <v>300000</v>
      </c>
      <c r="K114" s="120" t="s">
        <v>251</v>
      </c>
    </row>
    <row r="115" spans="1:11" s="47" customFormat="1" ht="13.9" x14ac:dyDescent="0.4">
      <c r="A115" s="70"/>
      <c r="B115" s="56" t="s">
        <v>37</v>
      </c>
      <c r="C115" s="53"/>
      <c r="D115" s="76" t="s">
        <v>165</v>
      </c>
      <c r="E115" s="56" t="s">
        <v>169</v>
      </c>
      <c r="F115" s="68" t="s">
        <v>3</v>
      </c>
      <c r="G115" s="83">
        <v>247170</v>
      </c>
      <c r="H115" s="68" t="s">
        <v>3</v>
      </c>
      <c r="I115" s="68" t="s">
        <v>3</v>
      </c>
      <c r="J115" s="46">
        <f t="shared" si="7"/>
        <v>247170</v>
      </c>
      <c r="K115" s="45" t="s">
        <v>305</v>
      </c>
    </row>
    <row r="116" spans="1:11" s="47" customFormat="1" ht="13.9" x14ac:dyDescent="0.4">
      <c r="A116" s="70"/>
      <c r="B116" s="56" t="s">
        <v>38</v>
      </c>
      <c r="C116" s="53"/>
      <c r="D116" s="76" t="s">
        <v>165</v>
      </c>
      <c r="E116" s="56" t="s">
        <v>169</v>
      </c>
      <c r="F116" s="127">
        <v>19000</v>
      </c>
      <c r="G116" s="127">
        <v>21000</v>
      </c>
      <c r="H116" s="126" t="s">
        <v>3</v>
      </c>
      <c r="I116" s="126" t="s">
        <v>3</v>
      </c>
      <c r="J116" s="34">
        <f t="shared" si="7"/>
        <v>40000</v>
      </c>
      <c r="K116" s="120" t="s">
        <v>251</v>
      </c>
    </row>
    <row r="117" spans="1:11" s="47" customFormat="1" ht="13.9" x14ac:dyDescent="0.4">
      <c r="A117" s="70"/>
      <c r="B117" s="8" t="s">
        <v>35</v>
      </c>
      <c r="C117" s="38"/>
      <c r="D117" s="20" t="s">
        <v>165</v>
      </c>
      <c r="E117" s="8" t="s">
        <v>169</v>
      </c>
      <c r="F117" s="9" t="s">
        <v>3</v>
      </c>
      <c r="G117" s="19">
        <v>495390</v>
      </c>
      <c r="H117" s="9" t="s">
        <v>3</v>
      </c>
      <c r="I117" s="9" t="s">
        <v>3</v>
      </c>
      <c r="J117" s="24">
        <f t="shared" si="7"/>
        <v>495390</v>
      </c>
      <c r="K117" s="22" t="s">
        <v>305</v>
      </c>
    </row>
    <row r="118" spans="1:11" s="47" customFormat="1" ht="13.9" x14ac:dyDescent="0.4">
      <c r="A118" s="70"/>
      <c r="B118" s="56" t="s">
        <v>45</v>
      </c>
      <c r="C118" s="53"/>
      <c r="D118" s="76" t="s">
        <v>165</v>
      </c>
      <c r="E118" s="56" t="s">
        <v>169</v>
      </c>
      <c r="F118" s="126" t="s">
        <v>3</v>
      </c>
      <c r="G118" s="127">
        <v>22930</v>
      </c>
      <c r="H118" s="126" t="s">
        <v>3</v>
      </c>
      <c r="I118" s="126" t="s">
        <v>3</v>
      </c>
      <c r="J118" s="34">
        <f t="shared" si="7"/>
        <v>22930</v>
      </c>
      <c r="K118" s="120" t="s">
        <v>251</v>
      </c>
    </row>
    <row r="119" spans="1:11" ht="13.9" x14ac:dyDescent="0.4">
      <c r="A119" s="41"/>
      <c r="B119" s="56"/>
      <c r="C119" s="53"/>
      <c r="D119" s="53"/>
      <c r="E119" s="47"/>
      <c r="F119" s="45"/>
      <c r="G119" s="45"/>
      <c r="H119" s="45"/>
      <c r="I119" s="45"/>
      <c r="J119" s="48"/>
      <c r="K119" s="33"/>
    </row>
    <row r="120" spans="1:11" ht="13.9" x14ac:dyDescent="0.4">
      <c r="A120" s="41"/>
      <c r="B120" s="14" t="s">
        <v>2</v>
      </c>
      <c r="C120" s="52"/>
      <c r="D120" s="52"/>
      <c r="E120" s="14"/>
      <c r="F120" s="21">
        <f>SUM(F10:F119)</f>
        <v>8549744.4193300009</v>
      </c>
      <c r="G120" s="21">
        <f>SUM(G10:G119)</f>
        <v>20822313.861000001</v>
      </c>
      <c r="H120" s="21">
        <f>SUM(H10:H119)</f>
        <v>2961738.96361</v>
      </c>
      <c r="I120" s="21">
        <f>SUM(I10:I119)</f>
        <v>4412304.3289999999</v>
      </c>
      <c r="J120" s="67">
        <f>SUM(J10:J119)</f>
        <v>36771026.572939999</v>
      </c>
      <c r="K120" s="19" t="s">
        <v>172</v>
      </c>
    </row>
    <row r="121" spans="1:11" ht="13.5" x14ac:dyDescent="0.35">
      <c r="B121" s="27"/>
      <c r="C121" s="27"/>
      <c r="D121" s="27"/>
      <c r="E121" s="27" t="s">
        <v>15</v>
      </c>
      <c r="F121" s="22">
        <f>F120+H120</f>
        <v>11511483.382940002</v>
      </c>
      <c r="G121" s="8"/>
      <c r="H121" s="8"/>
      <c r="I121" s="35"/>
      <c r="J121" s="22">
        <f>SUM(F120:I120)</f>
        <v>36746101.572940007</v>
      </c>
      <c r="K121" s="1">
        <f>J120-J121</f>
        <v>24924.999999992549</v>
      </c>
    </row>
    <row r="122" spans="1:11" ht="13.5" x14ac:dyDescent="0.35">
      <c r="B122" s="2"/>
      <c r="C122" s="2"/>
      <c r="D122" s="2"/>
      <c r="E122" s="2"/>
      <c r="F122" s="28"/>
      <c r="G122" s="28"/>
      <c r="H122" s="28"/>
      <c r="I122" s="28"/>
      <c r="J122" s="28"/>
    </row>
    <row r="123" spans="1:11" ht="17.649999999999999" x14ac:dyDescent="0.5">
      <c r="B123" s="85" t="s">
        <v>2</v>
      </c>
      <c r="C123" s="85"/>
      <c r="D123" s="85"/>
      <c r="E123" s="85" t="s">
        <v>29</v>
      </c>
      <c r="F123" s="86">
        <f>F120+F129</f>
        <v>8552736.9193300009</v>
      </c>
      <c r="G123" s="86">
        <f>G120+G129</f>
        <v>20849246.361000001</v>
      </c>
      <c r="H123" s="86">
        <f>H120</f>
        <v>2961738.96361</v>
      </c>
      <c r="I123" s="86">
        <f>I120</f>
        <v>4412304.3289999999</v>
      </c>
      <c r="J123" s="86">
        <f>SUM(F123:I123)</f>
        <v>36776026.572940007</v>
      </c>
      <c r="K123" s="6">
        <f>J123-J120</f>
        <v>5000.0000000074506</v>
      </c>
    </row>
    <row r="124" spans="1:11" s="5" customFormat="1" ht="13.9" x14ac:dyDescent="0.4">
      <c r="A124" s="26"/>
      <c r="B124" s="35"/>
      <c r="C124" s="35"/>
      <c r="D124" s="35"/>
      <c r="E124" s="74" t="s">
        <v>219</v>
      </c>
      <c r="F124" s="22">
        <f>F123+H123</f>
        <v>11514475.882940002</v>
      </c>
      <c r="G124" s="22"/>
      <c r="H124" s="8"/>
      <c r="I124" s="8"/>
      <c r="J124" s="22"/>
      <c r="K124" s="24"/>
    </row>
    <row r="125" spans="1:11" ht="13.9" x14ac:dyDescent="0.4">
      <c r="C125" s="5"/>
      <c r="D125" s="5"/>
      <c r="E125" s="5" t="s">
        <v>23</v>
      </c>
      <c r="F125" s="29">
        <f>F123/$J123</f>
        <v>0.23256283281084938</v>
      </c>
      <c r="G125" s="29">
        <f>G123/$J123</f>
        <v>0.56692493191586357</v>
      </c>
      <c r="H125" s="29">
        <f>H123/$J123</f>
        <v>8.0534501402314704E-2</v>
      </c>
      <c r="I125" s="29">
        <f>I123/$J123</f>
        <v>0.11997773387097226</v>
      </c>
      <c r="J125" s="29">
        <f>J123/$J123</f>
        <v>1</v>
      </c>
      <c r="K125" s="8"/>
    </row>
    <row r="126" spans="1:11" ht="13.9" x14ac:dyDescent="0.4">
      <c r="B126" s="5"/>
      <c r="C126" s="5"/>
      <c r="D126" s="5"/>
      <c r="E126" s="5"/>
      <c r="F126" s="29"/>
      <c r="G126" s="29"/>
      <c r="H126" s="29"/>
      <c r="I126" s="29"/>
      <c r="J126" s="28">
        <f>SUM(F125:I125)</f>
        <v>0.99999999999999978</v>
      </c>
      <c r="K126" s="8"/>
    </row>
    <row r="127" spans="1:11" ht="13.5" x14ac:dyDescent="0.35">
      <c r="A127"/>
      <c r="B127" s="3"/>
      <c r="C127" s="3"/>
      <c r="D127" s="3"/>
      <c r="E127" s="3"/>
      <c r="F127" s="8"/>
      <c r="G127" s="8"/>
      <c r="H127" s="8"/>
      <c r="I127" s="8"/>
      <c r="J127" s="8"/>
      <c r="K127" s="8"/>
    </row>
    <row r="128" spans="1:11" ht="13.9" x14ac:dyDescent="0.4">
      <c r="A128"/>
      <c r="B128" s="27"/>
      <c r="C128" s="27"/>
      <c r="D128" s="27"/>
      <c r="E128" s="27"/>
      <c r="F128" s="16"/>
      <c r="G128" s="16"/>
      <c r="H128" s="16"/>
      <c r="I128" s="18"/>
      <c r="J128" s="17"/>
      <c r="K128" s="8"/>
    </row>
    <row r="129" spans="1:11" ht="13.9" x14ac:dyDescent="0.4">
      <c r="B129" s="25" t="s">
        <v>168</v>
      </c>
      <c r="C129" s="38"/>
      <c r="D129" s="38"/>
      <c r="E129" s="3"/>
      <c r="F129" s="7">
        <f>0.1*$J139</f>
        <v>2992.5</v>
      </c>
      <c r="G129" s="7">
        <f>0.9*$J139</f>
        <v>26932.5</v>
      </c>
      <c r="H129" s="7">
        <v>0</v>
      </c>
      <c r="I129" s="7">
        <v>0</v>
      </c>
      <c r="J129" s="49"/>
      <c r="K129" s="3"/>
    </row>
    <row r="130" spans="1:11" ht="13.9" x14ac:dyDescent="0.4">
      <c r="A130"/>
      <c r="B130" s="25"/>
      <c r="C130" s="3"/>
      <c r="D130" s="3"/>
      <c r="E130" s="3"/>
      <c r="F130" s="7"/>
      <c r="G130" s="7"/>
      <c r="H130" s="7"/>
      <c r="I130" s="7"/>
      <c r="J130" s="3"/>
      <c r="K130" s="3"/>
    </row>
    <row r="131" spans="1:11" ht="13.9" x14ac:dyDescent="0.4">
      <c r="A131"/>
      <c r="B131" s="78" t="s">
        <v>174</v>
      </c>
      <c r="C131" s="3"/>
      <c r="D131" s="3"/>
      <c r="E131" s="3"/>
      <c r="F131" s="7"/>
      <c r="G131" s="7"/>
      <c r="H131" s="7"/>
      <c r="I131" s="7"/>
      <c r="J131" s="3"/>
      <c r="K131" s="3"/>
    </row>
    <row r="132" spans="1:11" ht="13.9" x14ac:dyDescent="0.4">
      <c r="A132"/>
      <c r="B132" s="25" t="s">
        <v>49</v>
      </c>
      <c r="C132" s="3"/>
      <c r="D132" s="3"/>
      <c r="E132" s="3"/>
      <c r="F132" s="7">
        <f t="shared" ref="F132:F137" si="8">0.1*$J132</f>
        <v>0</v>
      </c>
      <c r="G132" s="7">
        <f t="shared" ref="G132:G137" si="9">0.9*$J132</f>
        <v>0</v>
      </c>
      <c r="H132" s="7">
        <v>0</v>
      </c>
      <c r="I132" s="7">
        <v>0</v>
      </c>
      <c r="J132" s="7"/>
      <c r="K132" s="3"/>
    </row>
    <row r="133" spans="1:11" ht="13.9" x14ac:dyDescent="0.4">
      <c r="A133"/>
      <c r="B133" s="25" t="s">
        <v>48</v>
      </c>
      <c r="C133" s="3"/>
      <c r="D133" s="3"/>
      <c r="E133" s="3"/>
      <c r="F133" s="7">
        <f t="shared" si="8"/>
        <v>0</v>
      </c>
      <c r="G133" s="7">
        <f t="shared" si="9"/>
        <v>0</v>
      </c>
      <c r="H133" s="7">
        <v>0</v>
      </c>
      <c r="I133" s="7">
        <v>0</v>
      </c>
      <c r="J133" s="3">
        <v>0</v>
      </c>
      <c r="K133" s="3"/>
    </row>
    <row r="134" spans="1:11" ht="13.9" x14ac:dyDescent="0.4">
      <c r="A134"/>
      <c r="B134" s="25" t="s">
        <v>47</v>
      </c>
      <c r="C134" s="3"/>
      <c r="D134" s="3"/>
      <c r="E134" s="3"/>
      <c r="F134" s="7">
        <f t="shared" si="8"/>
        <v>0</v>
      </c>
      <c r="G134" s="7">
        <f t="shared" si="9"/>
        <v>0</v>
      </c>
      <c r="H134" s="7">
        <v>0</v>
      </c>
      <c r="I134" s="7">
        <v>0</v>
      </c>
      <c r="J134" s="3">
        <v>0</v>
      </c>
      <c r="K134" s="3"/>
    </row>
    <row r="135" spans="1:11" ht="13.9" x14ac:dyDescent="0.4">
      <c r="A135"/>
      <c r="B135" s="25" t="s">
        <v>10</v>
      </c>
      <c r="C135" s="3"/>
      <c r="D135" s="3"/>
      <c r="E135" s="3"/>
      <c r="F135" s="7">
        <f t="shared" si="8"/>
        <v>0</v>
      </c>
      <c r="G135" s="7">
        <f t="shared" si="9"/>
        <v>0</v>
      </c>
      <c r="H135" s="7">
        <v>0</v>
      </c>
      <c r="I135" s="7">
        <v>0</v>
      </c>
      <c r="J135" s="7">
        <v>0</v>
      </c>
      <c r="K135" s="3"/>
    </row>
    <row r="136" spans="1:11" ht="13.9" x14ac:dyDescent="0.4">
      <c r="B136" s="25" t="s">
        <v>9</v>
      </c>
      <c r="C136" s="5"/>
      <c r="D136" s="5"/>
      <c r="E136" s="5"/>
      <c r="F136" s="7">
        <f>0.1*$J136</f>
        <v>2992.5</v>
      </c>
      <c r="G136" s="7">
        <f t="shared" si="9"/>
        <v>26932.5</v>
      </c>
      <c r="H136" s="7">
        <v>0</v>
      </c>
      <c r="I136" s="7">
        <v>0</v>
      </c>
      <c r="J136" s="22">
        <f>J77+J88</f>
        <v>29925</v>
      </c>
      <c r="K136" s="3"/>
    </row>
    <row r="137" spans="1:11" ht="13.9" x14ac:dyDescent="0.4">
      <c r="B137" s="25" t="s">
        <v>50</v>
      </c>
      <c r="C137" s="3"/>
      <c r="D137" s="3"/>
      <c r="E137" s="3"/>
      <c r="F137" s="7">
        <f t="shared" si="8"/>
        <v>0</v>
      </c>
      <c r="G137" s="7">
        <f t="shared" si="9"/>
        <v>0</v>
      </c>
      <c r="H137" s="7">
        <v>0</v>
      </c>
      <c r="I137" s="7">
        <v>0</v>
      </c>
      <c r="J137" s="79"/>
      <c r="K137" s="3"/>
    </row>
    <row r="138" spans="1:11" ht="13.15" x14ac:dyDescent="0.4">
      <c r="B138" s="3"/>
      <c r="C138" s="3"/>
      <c r="D138" s="3"/>
      <c r="E138" s="3"/>
      <c r="F138" s="3"/>
      <c r="G138" s="3"/>
      <c r="H138" s="3"/>
      <c r="I138" s="3"/>
      <c r="J138" s="5"/>
      <c r="K138" s="3"/>
    </row>
    <row r="139" spans="1:11" ht="13.15" x14ac:dyDescent="0.4">
      <c r="B139" s="3"/>
      <c r="C139" s="3"/>
      <c r="D139" s="3"/>
      <c r="E139" s="3"/>
      <c r="F139" s="3"/>
      <c r="G139" s="3"/>
      <c r="H139" s="3"/>
      <c r="I139" s="3"/>
      <c r="J139" s="6">
        <f>SUM(J132:J138)</f>
        <v>29925</v>
      </c>
      <c r="K139" s="3" t="s">
        <v>175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062b0-4433-4ffb-b611-0001008381dc">
      <Terms xmlns="http://schemas.microsoft.com/office/infopath/2007/PartnerControls"/>
    </lcf76f155ced4ddcb4097134ff3c332f>
    <TaxCatchAll xmlns="d7314fcf-e23a-4d00-b24c-aab50aee497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6EDA4B78C0C49873C61358D2E2129" ma:contentTypeVersion="16" ma:contentTypeDescription="Create a new document." ma:contentTypeScope="" ma:versionID="eb1d9fe74245c87791b668c92209e86a">
  <xsd:schema xmlns:xsd="http://www.w3.org/2001/XMLSchema" xmlns:xs="http://www.w3.org/2001/XMLSchema" xmlns:p="http://schemas.microsoft.com/office/2006/metadata/properties" xmlns:ns2="f9a062b0-4433-4ffb-b611-0001008381dc" xmlns:ns3="d7314fcf-e23a-4d00-b24c-aab50aee497f" targetNamespace="http://schemas.microsoft.com/office/2006/metadata/properties" ma:root="true" ma:fieldsID="c29832a65012df7312c671b2cdc4b16e" ns2:_="" ns3:_="">
    <xsd:import namespace="f9a062b0-4433-4ffb-b611-0001008381dc"/>
    <xsd:import namespace="d7314fcf-e23a-4d00-b24c-aab50aee4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062b0-4433-4ffb-b611-00010083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67bc228-6d63-4c72-9a75-9c5b2b5cd3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14fcf-e23a-4d00-b24c-aab50aee497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08c533b-efd1-4ef5-b4df-185250fd46a2}" ma:internalName="TaxCatchAll" ma:showField="CatchAllData" ma:web="d7314fcf-e23a-4d00-b24c-aab50aee4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621CD-C3CE-439D-8533-BDEF454FB7DE}">
  <ds:schemaRefs>
    <ds:schemaRef ds:uri="http://schemas.microsoft.com/office/2006/metadata/properties"/>
    <ds:schemaRef ds:uri="http://schemas.microsoft.com/office/infopath/2007/PartnerControls"/>
    <ds:schemaRef ds:uri="bbed7aa9-4335-4321-9a2a-305ae78539c8"/>
    <ds:schemaRef ds:uri="1639cd84-8151-4432-baad-ad2579ebc1cb"/>
    <ds:schemaRef ds:uri="f9a062b0-4433-4ffb-b611-0001008381dc"/>
    <ds:schemaRef ds:uri="d7314fcf-e23a-4d00-b24c-aab50aee497f"/>
  </ds:schemaRefs>
</ds:datastoreItem>
</file>

<file path=customXml/itemProps2.xml><?xml version="1.0" encoding="utf-8"?>
<ds:datastoreItem xmlns:ds="http://schemas.openxmlformats.org/officeDocument/2006/customXml" ds:itemID="{9BC8380E-6150-4B98-A58E-76D1F0F7B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062b0-4433-4ffb-b611-0001008381dc"/>
    <ds:schemaRef ds:uri="d7314fcf-e23a-4d00-b24c-aab50aee4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0F9327-FB76-444A-B072-DDA9A3F11A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</vt:vector>
  </TitlesOfParts>
  <Company>CEFOR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Seltmann</dc:creator>
  <cp:lastModifiedBy>IUMI - Veith Huesmann</cp:lastModifiedBy>
  <cp:lastPrinted>2019-08-16T11:54:16Z</cp:lastPrinted>
  <dcterms:created xsi:type="dcterms:W3CDTF">1999-06-09T08:25:28Z</dcterms:created>
  <dcterms:modified xsi:type="dcterms:W3CDTF">2025-09-06T02:59:35Z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0x0101001C46EDA4B78C0C49873C61358D2E2129</vt:lpwstr>
  </property>
  <property fmtid="{D5CDD505-2E9C-101B-9397-08002B2CF9AE}" pid="3" name="Order">
    <vt:r8>1014600</vt:r8>
  </property>
  <property fmtid="{D5CDD505-2E9C-101B-9397-08002B2CF9AE}" pid="4" name="MediaServiceImageTags">
    <vt:lpwstr/>
  </property>
</Properties>
</file>